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RD10-145\Desktop\客户调查资料\连展\"/>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c r="D4" i="5"/>
  <c r="E4"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V6"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R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<sst xmlns="http://schemas.openxmlformats.org/spreadsheetml/2006/main" count="22174" uniqueCount="15667">
  <si>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</si>
  <si>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</si>
  <si>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</si>
  <si>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</si>
  <si>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</si>
  <si>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</si>
  <si>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</si>
  <si>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</si>
  <si>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</si>
  <si>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</si>
  <si>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</si>
  <si>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</si>
  <si>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</si>
  <si>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</si>
  <si>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</si>
  <si>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</si>
  <si>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</si>
  <si>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</si>
  <si>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</si>
  <si>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</si>
  <si>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</si>
  <si>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</si>
  <si>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</si>
  <si>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</si>
  <si>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</si>
  <si>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</si>
  <si>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</si>
  <si>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</si>
  <si>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</si>
  <si>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</si>
  <si>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</si>
  <si>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</si>
  <si>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</si>
  <si>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</si>
  <si>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</si>
  <si>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</si>
  <si>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</si>
  <si>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</si>
  <si>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</si>
  <si>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</si>
  <si>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</si>
  <si>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</si>
  <si>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</si>
  <si>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</si>
  <si>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</si>
  <si>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</si>
  <si>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</si>
  <si>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</si>
  <si>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</si>
  <si>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</si>
  <si>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</si>
  <si>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</si>
  <si>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</si>
  <si>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</si>
  <si>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</si>
  <si>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</si>
  <si>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</si>
  <si>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</si>
  <si>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</si>
  <si>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</si>
  <si>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</si>
  <si>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</si>
  <si>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</si>
  <si>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</si>
  <si>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</si>
  <si>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</si>
  <si>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</si>
  <si>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</si>
  <si>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</si>
  <si>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</si>
  <si>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</si>
  <si>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</si>
  <si>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</si>
  <si>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</si>
  <si>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</si>
  <si>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</si>
  <si>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</si>
  <si>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</si>
  <si>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</si>
  <si>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</si>
  <si>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</si>
  <si>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</si>
  <si>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</si>
  <si>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</si>
  <si>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</si>
  <si>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</si>
  <si>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</si>
  <si>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</si>
  <si>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</si>
  <si>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</si>
  <si>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</si>
  <si>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</si>
  <si>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</si>
  <si>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</si>
  <si>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</si>
  <si>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</si>
  <si>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</si>
  <si>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</si>
  <si>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</si>
  <si>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</si>
  <si>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</si>
  <si>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</si>
  <si>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</si>
  <si>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</si>
  <si>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</si>
  <si>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</si>
  <si>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</si>
  <si>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</si>
  <si>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</si>
  <si>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</si>
  <si>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</si>
  <si>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</si>
  <si>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</si>
  <si>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</si>
  <si>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</si>
  <si>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</si>
  <si>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</si>
  <si>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</si>
  <si>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</si>
  <si>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</si>
  <si>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</si>
  <si>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</si>
  <si>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</si>
  <si>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</si>
  <si>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</si>
  <si>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</si>
  <si>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</si>
  <si>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</si>
  <si>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</si>
  <si>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</si>
  <si>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</si>
  <si>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</si>
  <si>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</si>
  <si>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</si>
  <si>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</si>
  <si>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</si>
  <si>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</si>
  <si>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</si>
  <si>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</si>
  <si>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</si>
  <si>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</si>
  <si>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</si>
  <si>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</si>
  <si>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</si>
  <si>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</si>
  <si>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</si>
  <si>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</si>
  <si>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</si>
  <si>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</si>
  <si>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</si>
  <si>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</si>
  <si>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</si>
  <si>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</si>
  <si>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</si>
  <si>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</si>
  <si>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</si>
  <si>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</si>
  <si>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</si>
  <si>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</si>
  <si>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</si>
  <si>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</si>
  <si>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</si>
  <si>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</si>
  <si>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</si>
  <si>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</si>
  <si>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</si>
  <si>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</si>
  <si>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</si>
  <si>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</si>
  <si>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</si>
  <si>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</si>
  <si>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</si>
  <si>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</si>
  <si>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</si>
  <si>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</si>
  <si>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</si>
  <si>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</si>
  <si>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</si>
  <si>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</si>
  <si>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</si>
  <si>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</si>
  <si>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</si>
  <si>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</si>
  <si>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</si>
  <si>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</si>
  <si>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</si>
  <si>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</si>
  <si>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</si>
  <si>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</si>
  <si>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</si>
  <si>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</si>
  <si>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</si>
  <si>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</si>
  <si>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</si>
  <si>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</si>
  <si>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</si>
  <si>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</si>
  <si>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</si>
  <si>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</si>
  <si>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</si>
  <si>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</si>
  <si>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</si>
  <si>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</si>
  <si>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</si>
  <si>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</si>
  <si>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</si>
  <si>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</si>
  <si>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</si>
  <si>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</si>
  <si>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</si>
  <si>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</si>
  <si>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</si>
  <si>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</si>
  <si>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</si>
  <si>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</si>
  <si>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</si>
  <si>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</si>
  <si>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</si>
  <si>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</si>
  <si>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</si>
  <si>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</si>
  <si>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</si>
  <si>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</si>
  <si>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</si>
  <si>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</si>
  <si>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</si>
  <si>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</si>
  <si>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</si>
  <si>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</si>
  <si>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</si>
  <si>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</si>
  <si>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</si>
  <si>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</si>
  <si>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</si>
  <si>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</si>
  <si>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</si>
  <si>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</si>
  <si>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</si>
  <si>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</si>
  <si>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</si>
  <si>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</si>
  <si>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</si>
  <si>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</si>
  <si>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</si>
  <si>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</si>
  <si>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</si>
  <si>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</si>
  <si>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</si>
  <si>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</si>
  <si>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</si>
  <si>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</si>
  <si>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</si>
  <si>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</si>
  <si>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</si>
  <si>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</si>
  <si>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</si>
  <si>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</si>
  <si>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</si>
  <si>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</si>
  <si>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</si>
  <si>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</si>
  <si>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</si>
  <si>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</si>
  <si>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</si>
  <si>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</si>
  <si>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</si>
  <si>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</si>
  <si>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</si>
  <si>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</si>
  <si>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</si>
  <si>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</si>
  <si>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</si>
  <si>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</si>
  <si>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</si>
  <si>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</si>
  <si>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</si>
  <si>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</si>
  <si>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</si>
  <si>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</si>
  <si>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</si>
  <si>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</si>
  <si>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</si>
  <si>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</si>
  <si>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</si>
  <si>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</si>
  <si>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</si>
  <si>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</si>
  <si>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</si>
  <si>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</si>
  <si>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</si>
  <si>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</si>
  <si>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</si>
  <si>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</si>
  <si>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</si>
  <si>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</si>
  <si>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</si>
  <si>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</si>
  <si>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</si>
  <si>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</si>
  <si>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</si>
  <si>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</si>
  <si>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</si>
  <si>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</si>
  <si>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</si>
  <si>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</si>
  <si>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</si>
  <si>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</si>
  <si>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</si>
  <si>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</si>
  <si>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</si>
  <si>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</si>
  <si>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</si>
  <si>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</si>
  <si>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</si>
  <si>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</si>
  <si>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</si>
  <si>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</si>
  <si>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</si>
  <si>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</si>
  <si>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</si>
  <si>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</si>
  <si>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</si>
  <si>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</si>
  <si>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</si>
  <si>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</si>
  <si>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</si>
  <si>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</si>
  <si>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</si>
  <si>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</si>
  <si>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</si>
  <si>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</si>
  <si>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</si>
  <si>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</si>
  <si>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</si>
  <si>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</si>
  <si>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</si>
  <si>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</si>
  <si>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</si>
  <si>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</si>
  <si>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</si>
  <si>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</si>
  <si>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</si>
  <si>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</si>
  <si>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</si>
  <si>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</si>
  <si>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</si>
  <si>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</si>
  <si>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</si>
  <si>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</si>
  <si>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</si>
  <si>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</si>
  <si>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</si>
  <si>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</si>
  <si>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</si>
  <si>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</si>
  <si>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</si>
  <si>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</si>
  <si>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</si>
  <si>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</si>
  <si>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</si>
  <si>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</si>
  <si>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</si>
  <si>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</si>
  <si>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</si>
  <si>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</si>
  <si>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</si>
  <si>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</si>
  <si>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</si>
  <si>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</si>
  <si>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</si>
  <si>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</si>
  <si>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</si>
  <si>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</si>
  <si>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</si>
  <si>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</si>
  <si>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</si>
  <si>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</si>
  <si>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</si>
  <si>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</si>
  <si>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</si>
  <si>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</si>
  <si>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</si>
  <si>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</si>
  <si>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</si>
  <si>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</si>
  <si>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</si>
  <si>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</si>
  <si>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</si>
  <si>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</si>
  <si>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</si>
  <si>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</si>
  <si>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</si>
  <si>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</si>
  <si>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</si>
  <si>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</si>
  <si>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</si>
  <si>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</si>
  <si>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</si>
  <si>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</si>
  <si>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</si>
  <si>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</si>
  <si>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</si>
  <si>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</si>
  <si>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</si>
  <si>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</si>
  <si>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</si>
  <si>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</si>
  <si>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</si>
  <si>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</si>
  <si>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</si>
  <si>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</si>
  <si>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</si>
  <si>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</si>
  <si>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</si>
  <si>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</si>
  <si>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</si>
  <si>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</si>
  <si>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</si>
  <si>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</si>
  <si>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</si>
  <si>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</si>
  <si>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</si>
  <si>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</si>
  <si>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</si>
  <si>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</si>
  <si>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</si>
  <si>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</si>
  <si>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</si>
  <si>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</si>
  <si>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</si>
  <si>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</si>
  <si>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</si>
  <si>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</si>
  <si>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</si>
  <si>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</si>
  <si>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</si>
  <si>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</si>
  <si>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</si>
  <si>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</si>
  <si>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</si>
  <si>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</si>
  <si>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</si>
  <si>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</si>
  <si>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</si>
  <si>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</si>
  <si>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</si>
  <si>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</si>
  <si>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</si>
  <si>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</si>
  <si>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</si>
  <si>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</si>
  <si>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</si>
  <si>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</si>
  <si>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</si>
  <si>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</si>
  <si>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</si>
  <si>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</si>
  <si>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</si>
  <si>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</si>
  <si>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</si>
  <si>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</si>
  <si>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</si>
  <si>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</si>
  <si>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</si>
  <si>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</si>
  <si>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</si>
  <si>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</si>
  <si>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</si>
  <si>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</si>
  <si>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</si>
  <si>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</si>
  <si>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</si>
  <si>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</si>
  <si>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</si>
  <si>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</si>
  <si>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</si>
  <si>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</si>
  <si>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</si>
  <si>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</si>
  <si>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</si>
  <si>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</si>
  <si>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</si>
  <si>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</si>
  <si>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</si>
  <si>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</si>
  <si>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</si>
  <si>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</si>
  <si>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</si>
  <si>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</si>
  <si>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</si>
  <si>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</si>
  <si>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</si>
  <si>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</si>
  <si>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</si>
  <si>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</si>
  <si>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</si>
  <si>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</si>
  <si>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</si>
  <si>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</si>
  <si>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</si>
  <si>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</si>
  <si>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</si>
  <si>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</si>
  <si>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</si>
  <si>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</si>
  <si>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</si>
  <si>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</si>
  <si>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</si>
  <si>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</si>
  <si>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</si>
  <si>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</si>
  <si>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</si>
  <si>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</si>
  <si>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</si>
  <si>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</si>
  <si>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</si>
  <si>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</si>
  <si>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</si>
  <si>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</si>
  <si>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</si>
  <si>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</si>
  <si>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</si>
  <si>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</si>
  <si>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</si>
  <si>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</si>
  <si>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</si>
  <si>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</si>
  <si>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</si>
  <si>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</si>
  <si>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</si>
  <si>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</si>
  <si>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</si>
  <si>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</si>
  <si>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</si>
  <si>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</si>
  <si>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</si>
  <si>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</si>
  <si>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</si>
  <si>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</si>
  <si>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</si>
  <si>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</si>
  <si>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</si>
  <si>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</si>
  <si>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</si>
  <si>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</si>
  <si>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</si>
  <si>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</si>
  <si>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</si>
  <si>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</si>
  <si>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</si>
  <si>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</si>
  <si>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</si>
  <si>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</si>
  <si>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</si>
  <si>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</si>
  <si>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</si>
  <si>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</si>
  <si>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</si>
  <si>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</si>
  <si>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</si>
  <si>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</si>
  <si>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</si>
  <si>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</si>
  <si>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</si>
  <si>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</si>
  <si>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</si>
  <si>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</si>
  <si>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</si>
  <si>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</si>
  <si>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</si>
  <si>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</si>
  <si>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</si>
  <si>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</si>
  <si>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</si>
  <si>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</si>
  <si>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</si>
  <si>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</si>
  <si>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</si>
  <si>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</si>
  <si>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</si>
  <si>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</si>
  <si>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</si>
  <si>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</si>
  <si>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</si>
  <si>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</si>
  <si>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</si>
  <si>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</si>
  <si>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</si>
  <si>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</si>
  <si>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</si>
  <si>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</si>
  <si>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</si>
  <si>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</si>
  <si>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</si>
  <si>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</si>
  <si>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</si>
  <si>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</si>
  <si>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</si>
  <si>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</si>
  <si>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</si>
  <si>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</si>
  <si>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</si>
  <si>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</si>
  <si>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</si>
  <si>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</si>
  <si>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</si>
  <si>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</si>
  <si>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</si>
  <si>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</si>
  <si>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</si>
  <si>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</si>
  <si>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</si>
  <si>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</si>
  <si>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</si>
  <si>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</si>
  <si>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</si>
  <si>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</si>
  <si>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</si>
  <si>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</si>
  <si>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</si>
  <si>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</si>
  <si>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</si>
  <si>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</si>
  <si>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</si>
  <si>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</si>
  <si>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</si>
  <si>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</si>
  <si>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</si>
  <si>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</si>
  <si>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</si>
  <si>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</si>
  <si>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</si>
  <si>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</si>
  <si>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</si>
  <si>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</si>
  <si>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</si>
  <si>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</si>
  <si>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</si>
  <si>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</si>
  <si>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</si>
  <si>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</si>
  <si>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</si>
  <si>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</si>
  <si>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</si>
  <si>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</si>
  <si>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</si>
  <si>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</si>
  <si>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</si>
  <si>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</si>
  <si>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</si>
  <si>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</si>
  <si>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</si>
  <si>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</si>
  <si>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</si>
  <si>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</si>
  <si>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</si>
  <si>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</si>
  <si>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</si>
  <si>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</si>
  <si>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</si>
  <si>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</si>
  <si>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</si>
  <si>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</si>
  <si>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</si>
  <si>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</si>
  <si>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</si>
  <si>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</si>
  <si>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</si>
  <si>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</si>
  <si>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</si>
  <si>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</si>
  <si>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</si>
  <si>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</si>
  <si>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</si>
  <si>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</si>
  <si>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</si>
  <si>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</si>
  <si>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</si>
  <si>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</si>
  <si>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</si>
  <si>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</si>
  <si>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</si>
  <si>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</si>
  <si>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</si>
  <si>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</si>
  <si>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</si>
  <si>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</si>
  <si>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</si>
  <si>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</si>
  <si>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</si>
  <si>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</si>
  <si>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</si>
  <si>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</si>
  <si>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</si>
  <si>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</si>
  <si>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</si>
  <si>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</si>
  <si>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</si>
  <si>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</si>
  <si>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</si>
  <si>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</si>
  <si>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</si>
  <si>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</si>
  <si>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</si>
  <si>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</si>
  <si>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</si>
  <si>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</si>
  <si>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</si>
  <si>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</si>
  <si>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</si>
  <si>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</si>
  <si>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</si>
  <si>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</si>
  <si>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</si>
  <si>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</si>
  <si>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</si>
  <si>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</si>
  <si>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</si>
  <si>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</si>
  <si>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</si>
  <si>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</si>
  <si>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</si>
  <si>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</si>
  <si>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</si>
  <si>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</si>
  <si>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</si>
  <si>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</si>
  <si>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</si>
  <si>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</si>
  <si>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</si>
  <si>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</si>
  <si>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</si>
  <si>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</si>
  <si>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</si>
  <si>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</si>
  <si>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</si>
  <si>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</si>
  <si>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</si>
  <si>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</si>
  <si>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</si>
  <si>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</si>
  <si>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</si>
  <si>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</si>
  <si>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</si>
  <si>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</si>
  <si>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</si>
  <si>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</si>
  <si>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</si>
  <si>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</si>
  <si>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</si>
  <si>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</si>
  <si>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</si>
  <si>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</si>
  <si>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</si>
  <si>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</si>
  <si>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</si>
  <si>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</si>
  <si>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</si>
  <si>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</si>
  <si>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</si>
  <si>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</si>
  <si>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</si>
  <si>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</si>
  <si>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</si>
  <si>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</si>
  <si>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</si>
  <si>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</si>
  <si>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</si>
  <si>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</si>
  <si>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</si>
  <si>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</si>
  <si>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</si>
  <si>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</si>
  <si>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</si>
  <si>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</si>
  <si>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</si>
  <si>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</si>
  <si>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</si>
  <si>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</si>
  <si>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</si>
  <si>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</si>
  <si>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</si>
  <si>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</si>
  <si>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</si>
  <si>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</si>
  <si>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</si>
  <si>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</si>
  <si>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</si>
  <si>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</si>
  <si>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</si>
  <si>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</si>
  <si>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</si>
  <si>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</si>
  <si>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</si>
  <si>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</si>
  <si>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</si>
  <si>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</si>
  <si>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</si>
  <si>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</si>
  <si>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</si>
  <si>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</si>
  <si>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</si>
  <si>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</si>
  <si>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</si>
  <si>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</si>
  <si>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</si>
  <si>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</si>
  <si>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</si>
  <si>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</si>
  <si>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</si>
  <si>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</si>
  <si>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</si>
  <si>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</si>
  <si>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</si>
  <si>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</si>
  <si>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</si>
  <si>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</si>
  <si>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</si>
  <si>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</si>
  <si>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</si>
  <si>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</si>
  <si>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</si>
  <si>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</si>
  <si>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</si>
  <si>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</si>
  <si>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</si>
  <si>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</si>
  <si>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</si>
  <si>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</si>
  <si>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</si>
  <si>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</si>
  <si>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</si>
  <si>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</si>
  <si>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</si>
  <si>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</si>
  <si>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</si>
  <si>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</si>
  <si>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</si>
  <si>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</si>
  <si>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</si>
  <si>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</si>
  <si>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</si>
  <si>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</si>
  <si>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</si>
  <si>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</si>
  <si>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</si>
  <si>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</si>
  <si>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</si>
  <si>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</si>
  <si>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</si>
  <si>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</si>
  <si>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</si>
  <si>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</si>
  <si>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</si>
  <si>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</si>
  <si>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</si>
  <si>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</si>
  <si>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</si>
  <si>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</si>
  <si>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</si>
  <si>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</si>
  <si>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</si>
  <si>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</si>
  <si>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</si>
  <si>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</si>
  <si>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</si>
  <si>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</si>
  <si>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</si>
  <si>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</si>
  <si>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</si>
  <si>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</si>
  <si>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</si>
  <si>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</si>
  <si>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</si>
  <si>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</si>
  <si>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</si>
  <si>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</si>
  <si>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</si>
  <si>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</si>
  <si>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</si>
  <si>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</si>
  <si>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</si>
  <si>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</si>
  <si>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</si>
  <si>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</si>
  <si>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</si>
  <si>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</si>
  <si>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</si>
  <si>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</si>
  <si>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</si>
  <si>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</si>
  <si>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</si>
  <si>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</si>
  <si>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</si>
  <si>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</si>
  <si>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</si>
  <si>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</si>
  <si>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</si>
  <si>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</si>
  <si>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</si>
  <si>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</si>
  <si>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</si>
  <si>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</si>
  <si>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</si>
  <si>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</si>
  <si>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</si>
  <si>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</si>
  <si>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</si>
  <si>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</si>
  <si>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</si>
  <si>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</si>
  <si>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</si>
  <si>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</si>
  <si>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</si>
  <si>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</si>
  <si>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</si>
  <si>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</si>
  <si>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</si>
  <si>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</si>
  <si>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</si>
  <si>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</si>
  <si>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</si>
  <si>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</si>
  <si>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</si>
  <si>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</si>
  <si>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</si>
  <si>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</si>
  <si>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</si>
  <si>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</si>
  <si>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</si>
  <si>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</si>
  <si>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</si>
  <si>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</si>
  <si>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</si>
  <si>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</si>
  <si>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</si>
  <si>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</si>
  <si>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</si>
  <si>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</si>
  <si>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</si>
  <si>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</si>
  <si>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</si>
  <si>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</si>
  <si>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</si>
  <si>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</si>
  <si>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</si>
  <si>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</si>
  <si>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</si>
  <si>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</si>
  <si>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</si>
  <si>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</si>
  <si>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</si>
  <si>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</si>
  <si>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</si>
  <si>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</si>
  <si>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</si>
  <si>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</si>
  <si>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</si>
  <si>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</si>
  <si>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</si>
  <si>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</si>
  <si>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</si>
  <si>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</si>
  <si>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</si>
  <si>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</si>
  <si>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</si>
  <si>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</si>
  <si>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</si>
  <si>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</si>
  <si>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</si>
  <si>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</si>
  <si>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</si>
  <si>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</si>
  <si>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</si>
  <si>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</si>
  <si>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</si>
  <si>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</si>
  <si>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</si>
  <si>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</si>
  <si>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</si>
  <si>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</si>
  <si>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</si>
  <si>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</si>
  <si>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</si>
  <si>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</si>
  <si>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</si>
  <si>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</si>
  <si>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</si>
  <si>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</si>
  <si>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</si>
  <si>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</si>
  <si>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</si>
  <si>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</si>
  <si>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</si>
  <si>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</si>
  <si>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</si>
  <si>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</si>
  <si>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</si>
  <si>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</si>
  <si>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</si>
  <si>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</si>
  <si>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</si>
  <si>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</si>
  <si>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</si>
  <si>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</si>
  <si>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</si>
  <si>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</si>
  <si>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</si>
  <si>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</si>
  <si>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</si>
  <si>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</si>
  <si>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</si>
  <si>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</si>
  <si>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</si>
  <si>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</si>
  <si>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</si>
  <si>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</si>
  <si>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</si>
  <si>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</si>
  <si>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</si>
  <si>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</si>
  <si>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</si>
  <si>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</si>
  <si>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</si>
  <si>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</si>
  <si>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</si>
  <si>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</si>
  <si>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</si>
  <si>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</si>
  <si>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</si>
  <si>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</si>
  <si>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</si>
  <si>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</si>
  <si>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</si>
  <si>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</si>
  <si>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</si>
  <si>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</si>
  <si>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</si>
  <si>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</si>
  <si>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</si>
  <si>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</si>
  <si>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</si>
  <si>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</si>
  <si>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</si>
  <si>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</si>
  <si>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</si>
  <si>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</si>
  <si>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</si>
  <si>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</si>
  <si>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</si>
  <si>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</si>
  <si>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</si>
  <si>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</si>
  <si>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</si>
  <si>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</si>
  <si>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</si>
  <si>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</si>
  <si>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</si>
  <si>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</si>
  <si>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</si>
  <si>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</si>
  <si>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</si>
  <si>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</si>
  <si>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</si>
  <si>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</si>
  <si>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</si>
  <si>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</si>
  <si>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</si>
  <si>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</si>
  <si>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</si>
  <si>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</si>
  <si>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</si>
  <si>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</si>
  <si>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</si>
  <si>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</si>
  <si>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</si>
  <si>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</si>
  <si>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</si>
  <si>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</si>
  <si>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</si>
  <si>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</si>
  <si>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</si>
  <si>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</si>
  <si>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</si>
  <si>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</si>
  <si>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</si>
  <si>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</si>
  <si>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</si>
  <si>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</si>
  <si>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</si>
  <si>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</si>
  <si>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</si>
  <si>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</si>
  <si>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</si>
  <si>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</si>
  <si>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</si>
  <si>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</si>
  <si>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</si>
  <si>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</si>
  <si>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</si>
  <si>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</si>
  <si>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</si>
  <si>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</si>
  <si>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</si>
  <si>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</si>
  <si>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</si>
  <si>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</si>
  <si>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</si>
  <si>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</si>
  <si>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</si>
  <si>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</si>
  <si>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</si>
  <si>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</si>
  <si>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</si>
  <si>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</si>
  <si>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</si>
  <si>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</si>
  <si>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</si>
  <si>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</si>
  <si>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</si>
  <si>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</si>
  <si>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</si>
  <si>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</si>
  <si>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</si>
  <si>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</si>
  <si>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</si>
  <si>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</si>
  <si>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</si>
  <si>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</si>
  <si>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</si>
  <si>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</si>
  <si>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</si>
  <si>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</si>
  <si>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</si>
  <si>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</si>
  <si>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</si>
  <si>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</si>
  <si>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</si>
  <si>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</si>
  <si>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</si>
  <si>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</si>
  <si>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</si>
  <si>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</si>
  <si>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</si>
  <si>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</si>
  <si>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</si>
  <si>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</si>
  <si>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</si>
  <si>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</si>
  <si>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</si>
  <si>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</si>
  <si>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</si>
  <si>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</si>
  <si>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</si>
  <si>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</si>
  <si>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</si>
  <si>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</si>
  <si>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</si>
  <si>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</si>
  <si>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</si>
  <si>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</si>
  <si>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</si>
  <si>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</si>
  <si>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</si>
  <si>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</si>
  <si>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</si>
  <si>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</si>
  <si>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</si>
  <si>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</si>
  <si>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</si>
  <si>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</si>
  <si>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</si>
  <si>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</si>
  <si>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</si>
  <si>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</si>
  <si>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</si>
  <si>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</si>
  <si>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</si>
  <si>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</si>
  <si>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</si>
  <si>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</si>
  <si>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</si>
  <si>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</si>
  <si>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</si>
  <si>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</si>
  <si>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</si>
  <si>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</si>
  <si>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</si>
  <si>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</si>
  <si>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</si>
  <si>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</si>
  <si>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</si>
  <si>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</si>
  <si>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</si>
  <si>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</si>
  <si>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</si>
  <si>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</si>
  <si>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</si>
  <si>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</si>
  <si>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</si>
  <si>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</si>
  <si>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</si>
  <si>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</si>
  <si>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</si>
  <si>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</si>
  <si>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</si>
  <si>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</si>
  <si>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</si>
  <si>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</si>
  <si>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</si>
  <si>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</si>
  <si>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</si>
  <si>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</si>
  <si>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</si>
  <si>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</si>
  <si>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</si>
  <si>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</si>
  <si>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</si>
  <si>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</si>
  <si>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</si>
  <si>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</si>
  <si>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</si>
  <si>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</si>
  <si>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</si>
  <si>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</si>
  <si>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</si>
  <si>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</si>
  <si>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</si>
  <si>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</si>
  <si>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</si>
  <si>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</si>
  <si>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</si>
  <si>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</si>
  <si>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</si>
  <si>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</si>
  <si>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</si>
  <si>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</si>
  <si>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</si>
  <si>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</si>
  <si>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</si>
  <si>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</si>
  <si>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</si>
  <si>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</si>
  <si>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</si>
  <si>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</si>
  <si>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</si>
  <si>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</si>
  <si>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</si>
  <si>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</si>
  <si>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</si>
  <si>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</si>
  <si>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</si>
  <si>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</si>
  <si>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</si>
  <si>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</si>
  <si>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</si>
  <si>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</si>
  <si>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</si>
  <si>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</si>
  <si>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</si>
  <si>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</si>
  <si>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</si>
  <si>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</si>
  <si>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</si>
  <si>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</si>
  <si>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</si>
  <si>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</si>
  <si>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</si>
  <si>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</si>
  <si>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</si>
  <si>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</si>
  <si>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</si>
  <si>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</si>
  <si>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</si>
  <si>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</si>
  <si>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</si>
  <si>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</si>
  <si>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</si>
  <si>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</si>
  <si>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</si>
  <si>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</si>
  <si>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</si>
  <si>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</si>
  <si>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</si>
  <si>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</si>
  <si>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</si>
  <si>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</si>
  <si>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</si>
  <si>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</si>
  <si>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</si>
  <si>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</si>
  <si>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</si>
  <si>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</si>
  <si>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</si>
  <si>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</si>
  <si>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</si>
  <si>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</si>
  <si>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</si>
  <si>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</si>
  <si>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</si>
  <si>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</si>
  <si>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</si>
  <si>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</si>
  <si>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</si>
  <si>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</si>
  <si>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</si>
  <si>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</si>
  <si>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</si>
  <si>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</si>
  <si>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</si>
  <si>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</si>
  <si>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</si>
  <si>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</si>
  <si>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</si>
  <si>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</si>
  <si>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</si>
  <si>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</si>
  <si>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</si>
  <si>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</si>
  <si>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</si>
  <si>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</si>
  <si>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</si>
  <si>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</si>
  <si>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</si>
  <si>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</si>
  <si>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</si>
  <si>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</si>
  <si>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</si>
  <si>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</si>
  <si>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</si>
  <si>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</si>
  <si>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</si>
  <si>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</si>
  <si>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</si>
  <si>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</si>
  <si>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</si>
  <si>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</si>
  <si>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</si>
  <si>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</si>
  <si>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</si>
  <si>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</si>
  <si>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</si>
  <si>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</si>
  <si>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</si>
  <si>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</si>
  <si>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</si>
  <si>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</si>
  <si>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</si>
  <si>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</si>
  <si>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</si>
  <si>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</si>
  <si>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</si>
  <si>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</si>
  <si>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</si>
  <si>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</si>
  <si>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</si>
  <si>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</si>
  <si>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</si>
  <si>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</si>
  <si>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</si>
  <si>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</si>
  <si>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</si>
  <si>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</si>
  <si>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</si>
  <si>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</si>
  <si>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</si>
  <si>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</si>
  <si>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</si>
  <si>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</si>
  <si>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</si>
  <si>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</si>
  <si>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</si>
  <si>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</si>
  <si>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</si>
  <si>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</si>
  <si>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</si>
  <si>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</si>
  <si>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</si>
  <si>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</si>
  <si>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</si>
  <si>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</si>
  <si>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</si>
  <si>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</si>
  <si>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</si>
  <si>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</si>
  <si>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</si>
  <si>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</si>
  <si>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</si>
  <si>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</si>
  <si>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</si>
  <si>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</si>
  <si>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</si>
  <si>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</si>
  <si>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</si>
  <si>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</si>
  <si>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</si>
  <si>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</si>
  <si>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</si>
  <si>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</si>
  <si>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</si>
  <si>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</si>
  <si>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</si>
  <si>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</si>
  <si>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</si>
  <si>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</si>
  <si>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</si>
  <si>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</si>
  <si>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</si>
  <si>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</si>
  <si>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</si>
  <si>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</si>
  <si>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</si>
  <si>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</si>
  <si>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</si>
  <si>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</si>
  <si>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</si>
  <si>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</si>
  <si>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</si>
  <si>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</si>
  <si>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</si>
  <si>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</si>
  <si>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</si>
  <si>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</si>
  <si>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</si>
  <si>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</si>
  <si>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</si>
  <si>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</si>
  <si>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</si>
  <si>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</si>
  <si>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</si>
  <si>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</si>
  <si>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</si>
  <si>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</si>
  <si>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</si>
  <si>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</si>
  <si>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</si>
  <si>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</si>
  <si>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</si>
  <si>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</si>
  <si>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</si>
  <si>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</si>
  <si>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</si>
  <si>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</si>
  <si>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</si>
  <si>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</si>
  <si>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</si>
  <si>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</si>
  <si>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</si>
  <si>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</si>
  <si>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</si>
  <si>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</si>
  <si>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</si>
  <si>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</si>
  <si>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</si>
  <si>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</si>
  <si>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</si>
  <si>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</si>
  <si>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</si>
  <si>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</si>
  <si>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</si>
  <si>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</si>
  <si>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</si>
  <si>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</si>
  <si>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</si>
  <si>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</si>
  <si>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</si>
  <si>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</si>
  <si>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</si>
  <si>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</si>
  <si>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</si>
  <si>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</si>
  <si>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</si>
  <si>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</si>
  <si>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</si>
  <si>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</si>
  <si>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</si>
  <si>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</si>
  <si>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</si>
  <si>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</si>
  <si>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</si>
  <si>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</si>
  <si>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</si>
  <si>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</si>
  <si>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</si>
  <si>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</si>
  <si>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</si>
  <si>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</si>
  <si>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</si>
  <si>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</si>
  <si>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</si>
  <si>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</si>
  <si>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</si>
  <si>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</si>
  <si>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</si>
  <si>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</si>
  <si>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</si>
  <si>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</si>
  <si>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</si>
  <si>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</si>
  <si>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</si>
  <si>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</si>
  <si>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</si>
  <si>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</si>
  <si>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</si>
  <si>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</si>
  <si>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</si>
  <si>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</si>
  <si>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</si>
  <si>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</si>
  <si>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</si>
  <si>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</si>
  <si>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</si>
  <si>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</si>
  <si>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</si>
  <si>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</si>
  <si>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</si>
  <si>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</si>
  <si>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</si>
  <si>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</si>
  <si>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</si>
  <si>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</si>
  <si>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</si>
  <si>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</si>
  <si>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</si>
  <si>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</si>
  <si>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</si>
  <si>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</si>
  <si>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</si>
  <si>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</si>
  <si>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</si>
  <si>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</si>
  <si>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</si>
  <si>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</si>
  <si>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</si>
  <si>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</si>
  <si>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</si>
  <si>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</si>
  <si>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</si>
  <si>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</si>
  <si>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</si>
  <si>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</si>
  <si>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</si>
  <si>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</si>
  <si>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</si>
  <si>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</si>
  <si>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</si>
  <si>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</si>
  <si>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</si>
  <si>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</si>
  <si>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</si>
  <si>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</si>
  <si>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</si>
  <si>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</si>
  <si>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</si>
  <si>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</si>
  <si>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</si>
  <si>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</si>
  <si>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</si>
  <si>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</si>
  <si>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</si>
  <si>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</si>
  <si>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</si>
  <si>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</si>
  <si>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</si>
  <si>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</si>
  <si>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</si>
  <si>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</si>
  <si>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</si>
  <si>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</si>
  <si>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</si>
  <si>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</si>
  <si>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</si>
  <si>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</si>
  <si>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</si>
  <si>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</si>
  <si>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</si>
  <si>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</si>
  <si>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</si>
  <si>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</si>
  <si>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</si>
  <si>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</si>
  <si>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</si>
  <si>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</si>
  <si>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</si>
  <si>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</si>
  <si>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</si>
  <si>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</si>
  <si>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</si>
  <si>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</si>
  <si>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</si>
  <si>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</si>
  <si>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</si>
  <si>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</si>
  <si>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</si>
  <si>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</si>
  <si>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</si>
  <si>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</si>
  <si>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</si>
  <si>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</si>
  <si>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</si>
  <si>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</si>
  <si>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</si>
  <si>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</si>
  <si>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</si>
  <si>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</si>
  <si>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</si>
  <si>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</si>
  <si>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</si>
  <si>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</si>
  <si>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</si>
  <si>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</si>
  <si>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</si>
  <si>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</si>
  <si>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</si>
  <si>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</si>
  <si>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</si>
  <si>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</si>
  <si>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</si>
  <si>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</si>
  <si>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</si>
  <si>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</si>
  <si>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</si>
  <si>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</si>
  <si>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</si>
  <si>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</si>
  <si>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</si>
  <si>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</si>
  <si>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</si>
  <si>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</si>
  <si>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</si>
  <si>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</si>
  <si>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</si>
  <si>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</si>
  <si>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</si>
  <si>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</si>
  <si>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</si>
  <si>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</si>
  <si>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</si>
  <si>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</si>
  <si>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</si>
  <si>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</si>
  <si>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</si>
  <si>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</si>
  <si>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</si>
  <si>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</si>
  <si>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</si>
  <si>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</si>
  <si>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</si>
  <si>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</si>
  <si>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</si>
  <si>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</si>
  <si>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</si>
  <si>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</si>
  <si>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</si>
  <si>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</si>
  <si>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</si>
  <si>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</si>
  <si>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</si>
  <si>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</si>
  <si>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</si>
  <si>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</si>
  <si>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</si>
  <si>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</si>
  <si>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</si>
  <si>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</si>
  <si>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</si>
  <si>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</si>
  <si>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</si>
  <si>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</si>
  <si>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</si>
  <si>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</si>
  <si>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</si>
  <si>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</si>
  <si>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</si>
  <si>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</si>
  <si>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</si>
  <si>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</si>
  <si>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</si>
  <si>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</si>
  <si>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</si>
  <si>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</si>
  <si>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</si>
  <si>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</si>
  <si>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</si>
  <si>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</si>
  <si>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</si>
  <si>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</si>
  <si>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</si>
  <si>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</si>
  <si>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</si>
  <si>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</si>
  <si>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</si>
  <si>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</si>
  <si>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</si>
  <si>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</si>
  <si>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</si>
  <si>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</si>
  <si>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</si>
  <si>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</si>
  <si>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</si>
  <si>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</si>
  <si>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</si>
  <si>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</si>
  <si>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</si>
  <si>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</si>
  <si>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</si>
  <si>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</si>
  <si>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</si>
  <si>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</si>
  <si>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</si>
  <si>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</si>
  <si>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</si>
  <si>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</si>
  <si>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</si>
  <si>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</si>
  <si>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</si>
  <si>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</si>
  <si>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</si>
  <si>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</si>
  <si>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</si>
  <si>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</si>
  <si>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</si>
  <si>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</si>
  <si>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</si>
  <si>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</si>
  <si>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</si>
  <si>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</si>
  <si>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</si>
  <si>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</si>
  <si>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</si>
  <si>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</si>
  <si>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</si>
  <si>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</si>
  <si>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</si>
  <si>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</si>
  <si>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</si>
  <si>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</si>
  <si>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</si>
  <si>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</si>
  <si>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</si>
  <si>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</si>
  <si>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</si>
  <si>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</si>
  <si>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</si>
  <si>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</si>
  <si>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</si>
  <si>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</si>
  <si>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</si>
  <si>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</si>
  <si>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</si>
  <si>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</si>
  <si>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</si>
  <si>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</si>
  <si>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</si>
  <si>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</si>
  <si>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</si>
  <si>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</si>
  <si>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</si>
  <si>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</si>
  <si>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</si>
  <si>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</si>
  <si>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</si>
  <si>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</si>
  <si>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</si>
  <si>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</si>
  <si>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</si>
  <si>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</si>
  <si>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</si>
  <si>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</si>
  <si>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</si>
  <si>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</si>
  <si>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</si>
  <si>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</si>
  <si>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</si>
  <si>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</si>
  <si>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</si>
  <si>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</si>
  <si>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</si>
  <si>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</si>
  <si>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</si>
  <si>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</si>
  <si>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</si>
  <si>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</si>
  <si>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</si>
  <si>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</si>
  <si>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</si>
  <si>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</si>
  <si>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</si>
  <si>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</si>
  <si>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</si>
  <si>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</si>
  <si>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</si>
  <si>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</si>
  <si>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</si>
  <si>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</si>
  <si>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</si>
  <si>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</si>
  <si>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</si>
  <si>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</si>
  <si>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</si>
  <si>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</si>
  <si>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</si>
  <si>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</si>
  <si>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</si>
  <si>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</si>
  <si>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</si>
  <si>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</si>
  <si>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</si>
  <si>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</si>
  <si>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</si>
  <si>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</si>
  <si>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</si>
  <si>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</si>
  <si>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</si>
  <si>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</si>
  <si>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</si>
  <si>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</si>
  <si>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</si>
  <si>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</si>
  <si>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</si>
  <si>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</si>
  <si>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</si>
  <si>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</si>
  <si>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</si>
  <si>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</si>
  <si>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</si>
  <si>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</si>
  <si>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</si>
  <si>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</si>
  <si>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</si>
  <si>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</si>
  <si>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</si>
  <si>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</si>
  <si>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</si>
  <si>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</si>
  <si>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</si>
  <si>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</si>
  <si>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</si>
  <si>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</si>
  <si>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</si>
  <si>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</si>
  <si>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</si>
  <si>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</si>
  <si>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</si>
  <si>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</si>
  <si>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</si>
  <si>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</si>
  <si>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</si>
  <si>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</si>
  <si>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</si>
  <si>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</si>
  <si>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</si>
  <si>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</si>
  <si>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</si>
  <si>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</si>
  <si>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</si>
  <si>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</si>
  <si>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</si>
  <si>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</si>
  <si>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</si>
  <si>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</si>
  <si>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</si>
  <si>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</si>
  <si>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</si>
  <si>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</si>
  <si>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</si>
  <si>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</si>
  <si>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</si>
  <si>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</si>
  <si>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</si>
  <si>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</si>
  <si>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</si>
  <si>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</si>
  <si>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</si>
  <si>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</si>
  <si>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</si>
  <si>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</si>
  <si>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</si>
  <si>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</si>
  <si>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</si>
  <si>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</si>
  <si>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</si>
  <si>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</si>
  <si>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</si>
  <si>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</si>
  <si>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</si>
  <si>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</si>
  <si>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</si>
  <si>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</si>
  <si>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</si>
  <si>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</si>
  <si>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</si>
  <si>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</si>
  <si>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</si>
  <si>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</si>
  <si>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</si>
  <si>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</si>
  <si>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</si>
  <si>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</si>
  <si>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</si>
  <si>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</si>
  <si>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</si>
  <si>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</si>
  <si>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</si>
  <si>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</si>
  <si>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</si>
  <si>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</si>
  <si>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</si>
  <si>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</si>
  <si>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</si>
  <si>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</si>
  <si>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</si>
  <si>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</si>
  <si>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</si>
  <si>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</si>
  <si>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</si>
  <si>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</si>
  <si>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</si>
  <si>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</si>
  <si>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</si>
  <si>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</si>
  <si>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</si>
  <si>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</si>
  <si>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</si>
  <si>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</si>
  <si>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</si>
  <si>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</si>
  <si>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</si>
  <si>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</si>
  <si>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</si>
  <si>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</si>
  <si>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</si>
  <si>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</si>
  <si>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</si>
  <si>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</si>
  <si>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</si>
  <si>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</si>
  <si>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</si>
  <si>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</si>
  <si>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</si>
  <si>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</si>
  <si>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</si>
  <si>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</si>
  <si>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</si>
  <si>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</si>
  <si>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</si>
  <si>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</si>
  <si>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</si>
  <si>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</si>
  <si>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</si>
  <si>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</si>
  <si>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</si>
  <si>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</si>
  <si>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</si>
  <si>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</si>
  <si>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</si>
  <si>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</si>
  <si>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</si>
  <si>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</si>
  <si>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</si>
  <si>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</si>
  <si>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</si>
  <si>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</si>
  <si>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</si>
  <si>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</si>
  <si>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</si>
  <si>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</si>
  <si>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</si>
  <si>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</si>
  <si>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</si>
  <si>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</si>
  <si>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</si>
  <si>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</si>
  <si>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</si>
  <si>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</si>
  <si>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</si>
  <si>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</si>
  <si>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</si>
  <si>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</si>
  <si>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</si>
  <si>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</si>
  <si>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</si>
  <si>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</si>
  <si>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</si>
  <si>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</si>
  <si>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</si>
  <si>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</si>
  <si>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</si>
  <si>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</si>
  <si>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</si>
  <si>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</si>
  <si>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</si>
  <si>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</si>
  <si>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</si>
  <si>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</si>
  <si>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</si>
  <si>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</si>
  <si>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</si>
  <si>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</si>
  <si>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</si>
  <si>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</si>
  <si>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</si>
  <si>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</si>
  <si>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</si>
  <si>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</si>
  <si>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</si>
  <si>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</si>
  <si>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</si>
  <si>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</si>
  <si>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</si>
  <si>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</si>
  <si>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</si>
  <si>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</si>
  <si>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</si>
  <si>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</si>
  <si>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</si>
  <si>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</si>
  <si>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</si>
  <si>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</si>
  <si>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</si>
  <si>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</si>
  <si>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</si>
  <si>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</si>
  <si>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</si>
  <si>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</si>
  <si>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</si>
  <si>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</si>
  <si>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</si>
  <si>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</si>
  <si>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</si>
  <si>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</si>
  <si>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</si>
  <si>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</si>
  <si>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</si>
  <si>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</si>
  <si>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</si>
  <si>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</si>
  <si>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</si>
  <si>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</si>
  <si>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</si>
  <si>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</si>
  <si>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</si>
  <si>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</si>
  <si>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</si>
  <si>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</si>
  <si>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</si>
  <si>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</si>
  <si>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</si>
  <si>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</si>
  <si>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</si>
  <si>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</si>
  <si>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</si>
  <si>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</si>
  <si>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</si>
  <si>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</si>
  <si>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</si>
  <si>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</si>
  <si>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</si>
  <si>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</si>
  <si>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</si>
  <si>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</si>
  <si>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</si>
  <si>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</si>
  <si>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</si>
  <si>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</si>
  <si>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</si>
  <si>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</si>
  <si>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</si>
  <si>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</si>
  <si>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</si>
  <si>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</si>
  <si>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</si>
  <si>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</si>
  <si>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</si>
  <si>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</si>
  <si>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</si>
  <si>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</si>
  <si>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</si>
  <si>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</si>
  <si>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</si>
  <si>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</si>
  <si>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</si>
  <si>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</si>
  <si>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</si>
  <si>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</si>
  <si>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</si>
  <si>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</si>
  <si>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</si>
  <si>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</si>
  <si>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</si>
  <si>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</si>
  <si>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</si>
  <si>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</si>
  <si>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</si>
  <si>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</si>
  <si>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</si>
  <si>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</si>
  <si>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</si>
  <si>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</si>
  <si>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</si>
  <si>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</si>
  <si>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</si>
  <si>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</si>
  <si>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</si>
  <si>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</si>
  <si>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</si>
  <si>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</si>
  <si>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</si>
  <si>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</si>
  <si>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</si>
  <si>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</si>
  <si>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</si>
  <si>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</si>
  <si>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</si>
  <si>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</si>
  <si>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</si>
  <si>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</si>
  <si>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</si>
  <si>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</si>
  <si>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</si>
  <si>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</si>
  <si>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</si>
  <si>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</si>
  <si>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</si>
  <si>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</si>
  <si>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</si>
  <si>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</si>
  <si>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</si>
  <si>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</si>
  <si>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</si>
  <si>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</si>
  <si>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</si>
  <si>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</si>
  <si>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</si>
  <si>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</si>
  <si>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</si>
  <si>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</si>
  <si>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</si>
  <si>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</si>
  <si>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</si>
  <si>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</si>
  <si>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</si>
  <si>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</si>
  <si>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</si>
  <si>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</si>
  <si>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</si>
  <si>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</si>
  <si>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</si>
  <si>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</si>
  <si>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</si>
  <si>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</si>
  <si>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</si>
  <si>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</si>
  <si>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</si>
  <si>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</si>
  <si>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</si>
  <si>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</si>
  <si>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</si>
  <si>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</si>
  <si>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</si>
  <si>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</si>
  <si>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</si>
  <si>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</si>
  <si>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</si>
  <si>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</si>
  <si>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</si>
  <si>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</si>
  <si>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</si>
  <si>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</si>
  <si>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</si>
  <si>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</si>
  <si>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</si>
  <si>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</si>
  <si>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</si>
  <si>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</si>
  <si>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</si>
  <si>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</si>
  <si>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</si>
  <si>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</si>
  <si>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</si>
  <si>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</si>
  <si>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</si>
  <si>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</si>
  <si>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</si>
  <si>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</si>
  <si>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</si>
  <si>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</si>
  <si>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</si>
  <si>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</si>
  <si>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</si>
  <si>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</si>
  <si>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</si>
  <si>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</si>
  <si>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</si>
  <si>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</si>
  <si>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</si>
  <si>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</si>
  <si>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</si>
  <si>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</si>
  <si>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</si>
  <si>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</si>
  <si>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</si>
  <si>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</si>
  <si>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</si>
  <si>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</si>
  <si>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</si>
  <si>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</si>
  <si>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</si>
  <si>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</si>
  <si>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</si>
  <si>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</si>
  <si>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</si>
  <si>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</si>
  <si>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</si>
  <si>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</si>
  <si>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</si>
  <si>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</si>
  <si>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</si>
  <si>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</si>
  <si>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</si>
  <si>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</si>
  <si>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</si>
  <si>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</si>
  <si>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</si>
  <si>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</si>
  <si>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</si>
  <si>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</si>
  <si>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</si>
  <si>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</si>
  <si>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</si>
  <si>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</si>
  <si>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</si>
  <si>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</si>
  <si>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</si>
  <si>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</si>
  <si>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</si>
  <si>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</si>
  <si>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</si>
  <si>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</si>
  <si>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</si>
  <si>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</si>
  <si>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</si>
  <si>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</si>
  <si>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</si>
  <si>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</si>
  <si>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</si>
  <si>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</si>
  <si>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</si>
  <si>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</si>
  <si>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</si>
  <si>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</si>
  <si>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</si>
  <si>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</si>
  <si>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</si>
  <si>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</si>
  <si>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</si>
  <si>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</si>
  <si>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</si>
  <si>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</si>
  <si>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</si>
  <si>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</si>
  <si>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</si>
  <si>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</si>
  <si>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</si>
  <si>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</si>
  <si>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</si>
  <si>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</si>
  <si>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</si>
  <si>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</si>
  <si>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</si>
  <si>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</si>
  <si>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</si>
  <si>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</si>
  <si>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</si>
  <si>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</si>
  <si>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</si>
  <si>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</si>
  <si>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</si>
  <si>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</si>
  <si>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</si>
  <si>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</si>
  <si>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</si>
  <si>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</si>
  <si>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</si>
  <si>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</si>
  <si>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</si>
  <si>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</si>
  <si>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</si>
  <si>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</si>
  <si>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</si>
  <si>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</si>
  <si>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</si>
  <si>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</si>
  <si>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</si>
  <si>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</si>
  <si>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</si>
  <si>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</si>
  <si>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</si>
  <si>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</si>
  <si>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</si>
  <si>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</si>
  <si>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</si>
  <si>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</si>
  <si>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</si>
  <si>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</si>
  <si>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</si>
  <si>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</si>
  <si>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</si>
  <si>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</si>
  <si>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</si>
  <si>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</si>
  <si>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</si>
  <si>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</si>
  <si>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</si>
  <si>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</si>
  <si>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</si>
  <si>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</si>
  <si>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</si>
  <si>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</si>
  <si>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</si>
  <si>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</si>
  <si>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</si>
  <si>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</si>
  <si>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</si>
  <si>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</si>
  <si>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</si>
  <si>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</si>
  <si>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</si>
  <si>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</si>
  <si>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</si>
  <si>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</si>
  <si>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</si>
  <si>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</si>
  <si>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</si>
  <si>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</si>
  <si>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</si>
  <si>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</si>
  <si>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</si>
  <si>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</si>
  <si>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</si>
  <si>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</si>
  <si>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</si>
  <si>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</si>
  <si>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</si>
  <si>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</si>
  <si>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</si>
  <si>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</si>
  <si>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</si>
  <si>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</si>
  <si>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</si>
  <si>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</si>
  <si>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</si>
  <si>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</si>
  <si>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</si>
  <si>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</si>
  <si>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</si>
  <si>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</si>
  <si>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</si>
  <si>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</si>
  <si>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</si>
  <si>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</si>
  <si>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</si>
  <si>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</si>
  <si>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</si>
  <si>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</si>
  <si>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</si>
  <si>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</si>
  <si>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</si>
  <si>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</si>
  <si>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</si>
  <si>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</si>
  <si>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</si>
  <si>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</si>
  <si>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</si>
  <si>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</si>
  <si>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</si>
  <si>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</si>
  <si>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</si>
  <si>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</si>
  <si>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</si>
  <si>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</si>
  <si>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</si>
  <si>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</si>
  <si>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</si>
  <si>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</si>
  <si>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</si>
  <si>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</si>
  <si>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</si>
  <si>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</si>
  <si>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</si>
  <si>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</si>
  <si>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</si>
  <si>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</si>
  <si>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</si>
  <si>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</si>
  <si>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</si>
  <si>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</si>
  <si>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</si>
  <si>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</si>
  <si>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</si>
  <si>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</si>
  <si>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</si>
  <si>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</si>
  <si>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</si>
  <si>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</si>
  <si>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</si>
  <si>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</si>
  <si>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</si>
  <si>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</si>
  <si>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</si>
  <si>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</si>
  <si>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</si>
  <si>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</si>
  <si>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</si>
  <si>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</si>
  <si>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</si>
  <si>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</si>
  <si>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</si>
  <si>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</si>
  <si>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</si>
  <si>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</si>
  <si>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</si>
  <si>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</si>
  <si>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</si>
  <si>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</si>
  <si>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</si>
  <si>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</si>
  <si>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</si>
  <si>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</si>
  <si>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</si>
  <si>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</si>
  <si>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</si>
  <si>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</si>
  <si>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</si>
  <si>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</si>
  <si>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</si>
  <si>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</si>
  <si>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</si>
  <si>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</si>
  <si>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</si>
  <si>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</si>
  <si>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</si>
  <si>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</si>
  <si>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</si>
  <si>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</si>
  <si>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</si>
  <si>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</si>
  <si>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</si>
  <si>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</si>
  <si>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</si>
  <si>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</si>
  <si>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</si>
  <si>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</si>
  <si>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</si>
  <si>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</si>
  <si>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</si>
  <si>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</si>
  <si>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</si>
  <si>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</si>
  <si>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</si>
  <si>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</si>
  <si>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</si>
  <si>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</si>
  <si>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</si>
  <si>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</si>
  <si>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</si>
  <si>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</si>
  <si>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</si>
  <si>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</si>
  <si>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</si>
  <si>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</si>
  <si>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</si>
  <si>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</si>
  <si>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</si>
  <si>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</si>
  <si>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</si>
  <si>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</si>
  <si>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</si>
  <si>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</si>
  <si>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</si>
  <si>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</si>
  <si>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</si>
  <si>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</si>
  <si>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</si>
  <si>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</si>
  <si>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</si>
  <si>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</si>
  <si>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</si>
  <si>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</si>
  <si>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</si>
  <si>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</si>
  <si>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</si>
  <si>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</si>
  <si>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</si>
  <si>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</si>
  <si>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</si>
  <si>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</si>
  <si>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</si>
  <si>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</si>
  <si>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</si>
  <si>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</si>
  <si>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</si>
  <si>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</si>
  <si>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</si>
  <si>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</si>
  <si>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</si>
  <si>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</si>
  <si>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</si>
  <si>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</si>
  <si>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</si>
  <si>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</si>
  <si>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</si>
  <si>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</si>
  <si>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</si>
  <si>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</si>
  <si>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</si>
  <si>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</si>
  <si>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</si>
  <si>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</si>
  <si>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</si>
  <si>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</si>
  <si>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</si>
  <si>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</si>
  <si>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</si>
  <si>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</si>
  <si>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</si>
  <si>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</si>
  <si>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</si>
  <si>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</si>
  <si>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</si>
  <si>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</si>
  <si>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</si>
  <si>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</si>
  <si>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</si>
  <si>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</si>
  <si>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</si>
  <si>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</si>
  <si>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</si>
  <si>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</si>
  <si>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</si>
  <si>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</si>
  <si>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</si>
  <si>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</si>
  <si>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</si>
  <si>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</si>
  <si>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</si>
  <si>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</si>
  <si>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</si>
  <si>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</si>
  <si>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</si>
  <si>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</si>
  <si>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</si>
  <si>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</si>
  <si>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</si>
  <si>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</si>
  <si>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</si>
  <si>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</si>
  <si>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</si>
  <si>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</si>
  <si>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</si>
  <si>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</si>
  <si>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</si>
  <si>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</si>
  <si>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</si>
  <si>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</si>
  <si>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</si>
  <si>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</si>
  <si>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</si>
  <si>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</si>
  <si>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</si>
  <si>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</si>
  <si>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</si>
  <si>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</si>
  <si>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</si>
  <si>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</si>
  <si>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</si>
  <si>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</si>
  <si>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</si>
  <si>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</si>
  <si>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</si>
  <si>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</si>
  <si>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</si>
  <si>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</si>
  <si>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</si>
  <si>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</si>
  <si>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</si>
  <si>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</si>
  <si>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</si>
  <si>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</si>
  <si>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</si>
  <si>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</si>
  <si>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</si>
  <si>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</si>
  <si>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</si>
  <si>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</si>
  <si>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</si>
  <si>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</si>
  <si>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</si>
  <si>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</si>
  <si>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</si>
  <si>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</si>
  <si>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</si>
  <si>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</si>
  <si>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</si>
  <si>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</si>
  <si>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</si>
  <si>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</si>
  <si>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</si>
  <si>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</si>
  <si>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</si>
  <si>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</si>
  <si>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</si>
  <si>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</si>
  <si>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</si>
  <si>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</si>
  <si>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</si>
  <si>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</si>
  <si>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</si>
  <si>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</si>
  <si>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</si>
  <si>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</si>
  <si>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</si>
  <si>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</si>
  <si>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</si>
  <si>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</si>
  <si>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</si>
  <si>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</si>
  <si>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</si>
  <si>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</si>
  <si>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</si>
  <si>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</si>
  <si>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</si>
  <si>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</si>
  <si>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</si>
  <si>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</si>
  <si>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</si>
  <si>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</si>
  <si>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</si>
  <si>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</si>
  <si>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</si>
  <si>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</si>
  <si>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</si>
  <si>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</si>
  <si>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</si>
  <si>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</si>
  <si>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</si>
  <si>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</si>
  <si>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</si>
  <si>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</si>
  <si>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</si>
  <si>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</si>
  <si>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</si>
  <si>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</si>
  <si>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</si>
  <si>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</si>
  <si>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</si>
  <si>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</si>
  <si>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</si>
  <si>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</si>
  <si>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</si>
  <si>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</si>
  <si>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</si>
  <si>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</si>
  <si>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</si>
  <si>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</si>
  <si>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</si>
  <si>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</si>
  <si>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</si>
  <si>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</si>
  <si>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</si>
  <si>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</si>
  <si>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</si>
  <si>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</si>
  <si>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</si>
  <si>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</si>
  <si>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</si>
  <si>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</si>
  <si>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</si>
  <si>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</si>
  <si>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</si>
  <si>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</si>
  <si>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</si>
  <si>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</si>
  <si>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</si>
  <si>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</si>
  <si>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</si>
  <si>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</si>
  <si>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</si>
  <si>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</si>
  <si>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</si>
  <si>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</si>
  <si>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</si>
  <si>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</si>
  <si>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</si>
  <si>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</si>
  <si>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</si>
  <si>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</si>
  <si>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</si>
  <si>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</si>
  <si>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</si>
  <si>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</si>
  <si>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</si>
  <si>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</si>
  <si>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</si>
  <si>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</si>
  <si>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</si>
  <si>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</si>
  <si>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</si>
  <si>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</si>
  <si>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</si>
  <si>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</si>
  <si>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</si>
  <si>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</si>
  <si>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</si>
  <si>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</si>
  <si>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</si>
  <si>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</si>
  <si>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</si>
  <si>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</si>
  <si>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</si>
  <si>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</si>
  <si>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</si>
  <si>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</si>
  <si>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</si>
  <si>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</si>
  <si>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</si>
  <si>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</si>
  <si>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</si>
  <si>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</si>
  <si>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</si>
  <si>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</si>
  <si>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</si>
  <si>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</si>
  <si>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</si>
  <si>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</si>
  <si>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</si>
  <si>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</si>
  <si>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</si>
  <si>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</si>
  <si>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</si>
  <si>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</si>
  <si>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</si>
  <si>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</si>
  <si>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</si>
  <si>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</si>
  <si>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</si>
  <si>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</si>
  <si>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</si>
  <si>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</si>
  <si>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</si>
  <si>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</si>
  <si>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</si>
  <si>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</si>
  <si>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</si>
  <si>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</si>
  <si>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</si>
  <si>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</si>
  <si>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</si>
  <si>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</si>
  <si>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</si>
  <si>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</si>
  <si>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</si>
  <si>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</si>
  <si>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</si>
  <si>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</si>
  <si>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</si>
  <si>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</si>
  <si>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</si>
  <si>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</si>
  <si>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</si>
  <si>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</si>
  <si>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</si>
  <si>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</si>
  <si>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</si>
  <si>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</si>
  <si>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</si>
  <si>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</si>
  <si>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</si>
  <si>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</si>
  <si>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</si>
  <si>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</si>
  <si>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</si>
  <si>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</si>
  <si>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</si>
  <si>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</si>
  <si>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</si>
  <si>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</si>
  <si>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</si>
  <si>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</si>
  <si>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</si>
  <si>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</si>
  <si>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</si>
  <si>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</si>
  <si>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</si>
  <si>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</si>
  <si>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</si>
  <si>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</si>
  <si>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</si>
  <si>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</si>
  <si>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</si>
  <si>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</si>
  <si>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</si>
  <si>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</si>
  <si>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</si>
  <si>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</si>
  <si>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</si>
  <si>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</si>
  <si>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</si>
  <si>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</si>
  <si>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</si>
  <si>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</si>
  <si>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</si>
  <si>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</si>
  <si>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</si>
  <si>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</si>
  <si>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</si>
  <si>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</si>
  <si>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</si>
  <si>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</si>
  <si>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</si>
  <si>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</si>
  <si>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</si>
  <si>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</si>
  <si>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</si>
  <si>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</si>
  <si>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</si>
  <si>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</si>
  <si>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</si>
  <si>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</si>
  <si>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</si>
  <si>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</si>
  <si>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</si>
  <si>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</si>
  <si>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</si>
  <si>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</si>
  <si>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</si>
  <si>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</si>
  <si>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</si>
  <si>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</si>
  <si>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</si>
  <si>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</si>
  <si>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</si>
  <si>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</si>
  <si>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</si>
  <si>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</si>
  <si>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</si>
  <si>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</si>
  <si>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</si>
  <si>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</si>
  <si>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</si>
  <si>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</si>
  <si>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</si>
  <si>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</si>
  <si>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</si>
  <si>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</si>
  <si>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</si>
  <si>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</si>
  <si>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</si>
  <si>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</si>
  <si>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</si>
  <si>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</si>
  <si>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</si>
  <si>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</si>
  <si>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</si>
  <si>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</si>
  <si>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</si>
  <si>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</si>
  <si>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</si>
  <si>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</si>
  <si>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</si>
  <si>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</si>
  <si>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</si>
  <si>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</si>
  <si>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</si>
  <si>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</si>
  <si>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</si>
  <si>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</si>
  <si>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</si>
  <si>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</si>
  <si>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</si>
  <si>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</si>
  <si>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</si>
  <si>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</si>
  <si>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</si>
  <si>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</si>
  <si>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</si>
  <si>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</si>
  <si>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</si>
  <si>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</si>
  <si>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</si>
  <si>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</si>
  <si>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</si>
  <si>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</si>
  <si>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</si>
  <si>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</si>
  <si>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</si>
  <si>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</si>
  <si>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</si>
  <si>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</si>
  <si>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</si>
  <si>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</si>
  <si>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</si>
  <si>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</si>
  <si>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</si>
  <si>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</si>
  <si>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</si>
  <si>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</si>
  <si>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</si>
  <si>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</si>
  <si>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</si>
  <si>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</si>
  <si>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</si>
  <si>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</si>
  <si>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</si>
  <si>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</si>
  <si>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</si>
  <si>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</si>
  <si>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</si>
  <si>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</si>
  <si>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</si>
  <si>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</si>
  <si>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</si>
  <si>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</si>
  <si>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</si>
  <si>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</si>
  <si>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</si>
  <si>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</si>
  <si>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</si>
  <si>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</si>
  <si>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</si>
  <si>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</si>
  <si>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</si>
  <si>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</si>
  <si>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</si>
  <si>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</si>
  <si>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</si>
  <si>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</si>
  <si>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</si>
  <si>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</si>
  <si>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</si>
  <si>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</si>
  <si>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</si>
  <si>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</si>
  <si>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</si>
  <si>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</si>
  <si>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</si>
  <si>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</si>
  <si>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</si>
  <si>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</si>
  <si>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</si>
  <si>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</si>
  <si>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</si>
  <si>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</si>
  <si>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</si>
  <si>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</si>
  <si>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</si>
  <si>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</si>
  <si>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</si>
  <si>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</si>
  <si>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</si>
  <si>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</si>
  <si>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</si>
  <si>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</si>
  <si>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</si>
  <si>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</si>
  <si>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</si>
  <si>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</si>
  <si>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</si>
  <si>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</si>
  <si>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</si>
  <si>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</si>
  <si>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</si>
  <si>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</si>
  <si>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</si>
  <si>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</si>
  <si>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</si>
  <si>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</si>
  <si>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</si>
  <si>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</si>
  <si>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</si>
  <si>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</si>
  <si>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</si>
  <si>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</si>
  <si>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</si>
  <si>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</si>
  <si>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</si>
  <si>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</si>
  <si>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</si>
  <si>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</si>
  <si>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</si>
  <si>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</si>
  <si>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</si>
  <si>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</si>
  <si>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</si>
  <si>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</si>
  <si>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</si>
  <si>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</si>
  <si>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</si>
  <si>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</si>
  <si>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</si>
  <si>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</si>
  <si>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</si>
  <si>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</si>
  <si>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</si>
  <si>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</si>
  <si>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</si>
  <si>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</si>
  <si>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</si>
  <si>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</si>
  <si>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</si>
  <si>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</si>
  <si>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</si>
  <si>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</si>
  <si>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</si>
  <si>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</si>
  <si>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</si>
  <si>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</si>
  <si>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</si>
  <si>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</si>
  <si>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</si>
  <si>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</si>
  <si>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</si>
  <si>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</si>
  <si>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</si>
  <si>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</si>
  <si>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</si>
  <si>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</si>
  <si>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</si>
  <si>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</si>
  <si>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</si>
  <si>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</si>
  <si>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</si>
  <si>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</si>
  <si>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</si>
  <si>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</si>
  <si>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</si>
  <si>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</si>
  <si>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</si>
  <si>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</si>
  <si>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</si>
  <si>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</si>
  <si>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</si>
  <si>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</si>
  <si>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</si>
  <si>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</si>
  <si>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</si>
  <si>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</si>
  <si>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</si>
  <si>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</si>
  <si>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</si>
  <si>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</si>
  <si>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</si>
  <si>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</si>
  <si>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</si>
  <si>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</si>
  <si>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</si>
  <si>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</si>
  <si>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</si>
  <si>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</si>
  <si>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</si>
  <si>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</si>
  <si>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</si>
  <si>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</si>
  <si>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</si>
  <si>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</si>
  <si>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</si>
  <si>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</si>
  <si>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</si>
  <si>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</si>
  <si>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</si>
  <si>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</si>
  <si>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</si>
  <si>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</si>
  <si>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</si>
  <si>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</si>
  <si>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</si>
  <si>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</si>
  <si>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</si>
  <si>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</si>
  <si>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</si>
  <si>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</si>
  <si>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</si>
  <si>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</si>
  <si>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</si>
  <si>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</si>
  <si>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</si>
  <si>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</si>
  <si>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</si>
  <si>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</si>
  <si>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</si>
  <si>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</si>
  <si>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</si>
  <si>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</si>
  <si>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</si>
  <si>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</si>
  <si>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</si>
  <si>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</si>
  <si>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</si>
  <si>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</si>
  <si>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</si>
  <si>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</si>
  <si>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</si>
  <si>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</si>
  <si>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</si>
  <si>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</si>
  <si>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</si>
  <si>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</si>
  <si>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</si>
  <si>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</si>
  <si>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</si>
  <si>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</si>
  <si>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</si>
  <si>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</si>
  <si>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</si>
  <si>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</si>
  <si>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</si>
  <si>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</si>
  <si>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</si>
  <si>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</si>
  <si>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</si>
  <si>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</si>
  <si>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</si>
  <si>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</si>
  <si>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</si>
  <si>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</si>
  <si>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</si>
  <si>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</si>
  <si>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</si>
  <si>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</si>
  <si>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</si>
  <si>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</si>
  <si>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</si>
  <si>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</si>
  <si>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</si>
  <si>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</si>
  <si>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</si>
  <si>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</si>
  <si>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</si>
  <si>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</si>
  <si>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</si>
  <si>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</si>
  <si>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</si>
  <si>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</si>
  <si>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</si>
  <si>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</si>
  <si>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</si>
  <si>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</si>
  <si>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</si>
  <si>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</si>
  <si>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</si>
  <si>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</si>
  <si>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</si>
  <si>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</si>
  <si>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</si>
  <si>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</si>
  <si>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</si>
  <si>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</si>
  <si>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</si>
  <si>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</si>
  <si>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</si>
  <si>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</si>
  <si>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</si>
  <si>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</si>
  <si>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</si>
  <si>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</si>
  <si>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</si>
  <si>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</si>
  <si>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</si>
  <si>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</si>
  <si>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</si>
  <si>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</si>
  <si>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</si>
  <si>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</si>
  <si>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</si>
  <si>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</si>
  <si>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</si>
  <si>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</si>
  <si>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</si>
  <si>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</si>
  <si>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</si>
  <si>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</si>
  <si>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</si>
  <si>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</si>
  <si>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</si>
  <si>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</si>
  <si>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</si>
  <si>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</si>
  <si>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</si>
  <si>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</si>
  <si>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</si>
  <si>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</si>
  <si>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</si>
  <si>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</si>
  <si>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</si>
  <si>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</si>
  <si>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</si>
  <si>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</si>
  <si>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</si>
  <si>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</si>
  <si>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</si>
  <si>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</si>
  <si>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</si>
  <si>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</si>
  <si>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</si>
  <si>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</si>
  <si>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</si>
  <si>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</si>
  <si>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</si>
  <si>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</si>
  <si>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</si>
  <si>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</si>
  <si>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</si>
  <si>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</si>
  <si>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</si>
  <si>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</si>
  <si>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</si>
  <si>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</si>
  <si>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</si>
  <si>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</si>
  <si>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</si>
  <si>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</si>
  <si>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</si>
  <si>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</si>
  <si>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</si>
  <si>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</si>
  <si>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</si>
  <si>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</si>
  <si>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</si>
  <si>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</si>
  <si>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</si>
  <si>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</si>
  <si>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</si>
  <si>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</si>
  <si>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</si>
  <si>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</si>
  <si>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</si>
  <si>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</si>
  <si>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</si>
  <si>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</si>
  <si>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</si>
  <si>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</si>
  <si>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</si>
  <si>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</si>
  <si>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</si>
  <si>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</si>
  <si>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</si>
  <si>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</si>
  <si>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</si>
  <si>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</si>
  <si>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</si>
  <si>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</si>
  <si>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</si>
  <si>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</si>
  <si>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</si>
  <si>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</si>
  <si>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</si>
  <si>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</si>
  <si>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</si>
  <si>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</si>
  <si>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</si>
  <si>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</si>
  <si>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</si>
  <si>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</si>
  <si>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</si>
  <si>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</si>
  <si>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</si>
  <si>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</si>
  <si>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</si>
  <si>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</si>
  <si>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</si>
  <si>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</si>
  <si>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</si>
  <si>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</si>
  <si>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</si>
  <si>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</si>
  <si>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</si>
  <si>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</si>
  <si>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</si>
  <si>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</si>
  <si>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</si>
  <si>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</si>
  <si>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</si>
  <si>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</si>
  <si>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</si>
  <si>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</si>
  <si>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</si>
  <si>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</si>
  <si>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</si>
  <si>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</si>
  <si>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</si>
  <si>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</si>
  <si>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</si>
  <si>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</si>
  <si>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</si>
  <si>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</si>
  <si>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</si>
  <si>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</si>
  <si>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</si>
  <si>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</si>
  <si>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</si>
  <si>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</si>
  <si>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</si>
  <si>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</si>
  <si>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</si>
  <si>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</si>
  <si>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</si>
  <si>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</si>
  <si>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</si>
  <si>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</si>
  <si>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</si>
  <si>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</si>
  <si>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</si>
  <si>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</si>
  <si>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</si>
  <si>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</si>
  <si>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</si>
  <si>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</si>
  <si>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</si>
  <si>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</si>
  <si>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</si>
  <si>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</si>
  <si>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</si>
  <si>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</si>
  <si>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</si>
  <si>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</si>
  <si>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</si>
  <si>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</si>
  <si>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</si>
  <si>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</si>
  <si>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</si>
  <si>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</si>
  <si>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</si>
  <si>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</si>
  <si>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</si>
  <si>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</si>
  <si>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</si>
  <si>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</si>
  <si>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</si>
  <si>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</si>
  <si>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</si>
  <si>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</si>
  <si>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</si>
  <si>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</si>
  <si>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</si>
  <si>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</si>
  <si>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</si>
  <si>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</si>
  <si>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</si>
  <si>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</si>
  <si>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</si>
  <si>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</si>
  <si>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</si>
  <si>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</si>
  <si>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</si>
  <si>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</si>
  <si>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</si>
  <si>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</si>
  <si>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</si>
  <si>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</si>
  <si>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</si>
  <si>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</si>
  <si>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</si>
  <si>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</si>
  <si>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</si>
  <si>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</si>
  <si>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</si>
  <si>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</si>
  <si>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</si>
  <si>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</si>
  <si>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</si>
  <si>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</si>
  <si>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</si>
  <si>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</si>
  <si>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</si>
  <si>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</si>
  <si>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</si>
  <si>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</si>
  <si>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</si>
  <si>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</si>
  <si>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</si>
  <si>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</si>
  <si>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</si>
  <si>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</si>
  <si>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</si>
  <si>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</si>
  <si>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</si>
  <si>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</si>
  <si>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</si>
  <si>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</si>
  <si>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</si>
  <si>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</si>
  <si>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</si>
  <si>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</si>
  <si>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</si>
  <si>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</si>
  <si>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</si>
  <si>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</si>
  <si>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</si>
  <si>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</si>
  <si>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</si>
  <si>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</si>
  <si>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</si>
  <si>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</si>
  <si>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</si>
  <si>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</si>
  <si>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</si>
  <si>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</si>
  <si>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</si>
  <si>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</si>
  <si>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</si>
  <si>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</si>
  <si>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</si>
  <si>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</si>
  <si>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</si>
  <si>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</si>
  <si>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</si>
  <si>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</si>
  <si>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</si>
  <si>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</si>
  <si>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</si>
  <si>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</si>
  <si>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</si>
  <si>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</si>
  <si>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</si>
  <si>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</si>
  <si>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</si>
  <si>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</si>
  <si>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</si>
  <si>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</si>
  <si>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</si>
  <si>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</si>
  <si>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</si>
  <si>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</si>
  <si>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</si>
  <si>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</si>
  <si>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</si>
  <si>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</si>
  <si>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</si>
  <si>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</si>
  <si>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</si>
  <si>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</si>
  <si>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</si>
  <si>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</si>
  <si>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</si>
  <si>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</si>
  <si>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</si>
  <si>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</si>
  <si>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</si>
  <si>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</si>
  <si>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</si>
  <si>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</si>
  <si>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</si>
  <si>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</si>
  <si>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</si>
  <si>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</si>
  <si>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</si>
  <si>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</si>
  <si>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</si>
  <si>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</si>
  <si>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</si>
  <si>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</si>
  <si>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</si>
  <si>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</si>
  <si>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</si>
  <si>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</si>
  <si>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</si>
  <si>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</si>
  <si>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</si>
  <si>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</si>
  <si>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</si>
  <si>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</si>
  <si>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</si>
  <si>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</si>
  <si>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</si>
  <si>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</si>
  <si>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</si>
  <si>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</si>
  <si>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</si>
  <si>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</si>
  <si>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</si>
  <si>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</si>
  <si>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</si>
  <si>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</si>
  <si>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</si>
  <si>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</si>
  <si>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</si>
  <si>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</si>
  <si>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</si>
  <si>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</si>
  <si>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</si>
  <si>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</si>
  <si>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</si>
  <si>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</si>
  <si>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</si>
  <si>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</si>
  <si>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</si>
  <si>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</si>
  <si>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</si>
  <si>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</si>
  <si>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</si>
  <si>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</si>
  <si>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</si>
  <si>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</si>
  <si>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</si>
  <si>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</si>
  <si>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</si>
  <si>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</si>
  <si>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</si>
  <si>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</si>
  <si>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</si>
  <si>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</si>
  <si>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</si>
  <si>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</si>
  <si>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</si>
  <si>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</si>
  <si>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</si>
  <si>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</si>
  <si>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</si>
  <si>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</si>
  <si>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</si>
  <si>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</si>
  <si>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</si>
  <si>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</si>
  <si>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</si>
  <si>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</si>
  <si>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</si>
  <si>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</si>
  <si>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</si>
  <si>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</si>
  <si>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</si>
  <si>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</si>
  <si>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</si>
  <si>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</si>
  <si>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</si>
  <si>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</si>
  <si>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</si>
  <si>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</si>
  <si>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</si>
  <si>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</si>
  <si>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</si>
  <si>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</si>
  <si>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</si>
  <si>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</si>
  <si>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</si>
  <si>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</si>
  <si>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</si>
  <si>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</si>
  <si>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</si>
  <si>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</si>
  <si>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</si>
  <si>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</si>
  <si>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</si>
  <si>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</si>
  <si>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</si>
  <si>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</si>
  <si>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</si>
  <si>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</si>
  <si>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</si>
  <si>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</si>
  <si>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</si>
  <si>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</si>
  <si>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</si>
  <si>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</si>
  <si>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</si>
  <si>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</si>
  <si>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</si>
  <si>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</si>
  <si>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</si>
  <si>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</si>
  <si>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</si>
  <si>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</si>
  <si>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</si>
  <si>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</si>
  <si>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</si>
  <si>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</si>
  <si>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</si>
  <si>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</si>
  <si>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</si>
  <si>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</si>
  <si>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</si>
  <si>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</si>
  <si>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</si>
  <si>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</si>
  <si>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</si>
  <si>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</si>
  <si>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</si>
  <si>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</si>
  <si>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</si>
  <si>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</si>
  <si>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</si>
  <si>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</si>
  <si>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</si>
  <si>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</si>
  <si>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</si>
  <si>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</si>
  <si>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</si>
  <si>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</si>
  <si>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</si>
  <si>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</si>
  <si>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</si>
  <si>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</si>
  <si>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</si>
  <si>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</si>
  <si>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</si>
  <si>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</si>
  <si>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</si>
  <si>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</si>
  <si>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</si>
  <si>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</si>
  <si>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</si>
  <si>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</si>
  <si>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</si>
  <si>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</si>
  <si>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</si>
  <si>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</si>
  <si>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</si>
  <si>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</si>
  <si>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</si>
  <si>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</si>
  <si>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</si>
  <si>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</si>
  <si>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</si>
  <si>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</si>
  <si>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</si>
  <si>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</si>
  <si>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</si>
  <si>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</si>
  <si>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</si>
  <si>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</si>
  <si>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</si>
  <si>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</si>
  <si>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</si>
  <si>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</si>
  <si>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</si>
  <si>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</si>
  <si>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</si>
  <si>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</si>
  <si>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</si>
  <si>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</si>
  <si>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</si>
  <si>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</si>
  <si>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</si>
  <si>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</si>
  <si>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</si>
  <si>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</si>
  <si>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</si>
  <si>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</si>
  <si>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</si>
  <si>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</si>
  <si>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</si>
  <si>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</si>
  <si>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</si>
  <si>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</si>
  <si>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</si>
  <si>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</si>
  <si>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</si>
  <si>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</si>
  <si>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</si>
  <si>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</si>
  <si>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</si>
  <si>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</si>
  <si>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</si>
  <si>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</si>
  <si>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</si>
  <si>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</si>
  <si>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</si>
  <si>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</si>
  <si>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</si>
  <si>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</si>
  <si>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</si>
  <si>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</si>
  <si>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</si>
  <si>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</si>
  <si>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</si>
  <si>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</si>
  <si>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</si>
  <si>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</si>
  <si>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</si>
  <si>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</si>
  <si>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</si>
  <si>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</si>
  <si>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</si>
  <si>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</si>
  <si>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</si>
  <si>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</si>
  <si>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</si>
  <si>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</si>
  <si>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</si>
  <si>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</si>
  <si>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</si>
  <si>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</si>
  <si>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</si>
  <si>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</si>
  <si>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</si>
  <si>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</si>
  <si>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</si>
  <si>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</si>
  <si>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</si>
  <si>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</si>
  <si>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</si>
  <si>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</si>
  <si>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</si>
  <si>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</si>
  <si>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</si>
  <si>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</si>
  <si>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</si>
  <si>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</si>
  <si>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</si>
  <si>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</si>
  <si>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</si>
  <si>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</si>
  <si>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</si>
  <si>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</si>
  <si>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</si>
  <si>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</si>
  <si>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</si>
  <si>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</si>
  <si>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</si>
  <si>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</si>
  <si>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</si>
  <si>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</si>
  <si>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</si>
  <si>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</si>
  <si>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</si>
  <si>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</si>
  <si>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</si>
  <si>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</si>
  <si>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</si>
  <si>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</si>
  <si>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</si>
  <si>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</si>
  <si>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</si>
  <si>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</si>
  <si>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</si>
  <si>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</si>
  <si>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</si>
  <si>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</si>
  <si>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</si>
  <si>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</si>
  <si>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</si>
  <si>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</si>
  <si>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</si>
  <si>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</si>
  <si>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</si>
  <si>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</si>
  <si>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</si>
  <si>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</si>
  <si>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</si>
  <si>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</si>
  <si>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</si>
  <si>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</si>
  <si>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</si>
  <si>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</si>
  <si>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</si>
  <si>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</si>
  <si>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</si>
  <si>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</si>
  <si>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</si>
  <si>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</si>
  <si>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</si>
  <si>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</si>
  <si>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</si>
  <si>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</si>
  <si>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</si>
  <si>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</si>
  <si>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</si>
  <si>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</si>
  <si>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</si>
  <si>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</si>
  <si>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</si>
  <si>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</si>
  <si>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</si>
  <si>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</si>
  <si>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</si>
  <si>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</si>
  <si>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</si>
  <si>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</si>
  <si>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</si>
  <si>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</si>
  <si>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</si>
  <si>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</si>
  <si>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</si>
  <si>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</si>
  <si>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</si>
  <si>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</si>
  <si>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</si>
  <si>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</si>
  <si>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</si>
  <si>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</si>
  <si>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</si>
  <si>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</si>
  <si>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</si>
  <si>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</si>
  <si>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</si>
  <si>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</si>
  <si>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</si>
  <si>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</si>
  <si>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</si>
  <si>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</si>
  <si>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</si>
  <si>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</si>
  <si>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</si>
  <si>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</si>
  <si>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</si>
  <si>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</si>
  <si>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</si>
  <si>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</si>
  <si>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</si>
  <si>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</si>
  <si>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</si>
  <si>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</si>
  <si>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</si>
  <si>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</si>
  <si>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</si>
  <si>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</si>
  <si>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</si>
  <si>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</si>
  <si>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</si>
  <si>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</si>
  <si>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</si>
  <si>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</si>
  <si>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</si>
  <si>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</si>
  <si>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</si>
  <si>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</si>
  <si>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</si>
  <si>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</si>
  <si>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</si>
  <si>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</si>
  <si>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</si>
  <si>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</si>
  <si>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</si>
  <si>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</si>
  <si>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</si>
  <si>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</si>
  <si>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</si>
  <si>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</si>
  <si>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</si>
  <si>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</si>
  <si>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</si>
  <si>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</si>
  <si>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</si>
  <si>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</si>
  <si>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</si>
  <si>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</si>
  <si>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</si>
  <si>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</si>
  <si>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</si>
  <si>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</si>
  <si>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</si>
  <si>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</si>
  <si>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</si>
  <si>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</si>
  <si>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</si>
  <si>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</si>
  <si>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</si>
  <si>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</si>
  <si>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</si>
  <si>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</si>
  <si>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</si>
  <si>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</si>
  <si>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</si>
  <si>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</si>
  <si>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</si>
  <si>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</si>
  <si>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</si>
  <si>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</si>
  <si>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</si>
  <si>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</si>
  <si>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</si>
  <si>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</si>
  <si>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</si>
  <si>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</si>
  <si>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</si>
  <si>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</si>
  <si>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</si>
  <si>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</si>
  <si>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</si>
  <si>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</si>
  <si>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</si>
  <si>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</si>
  <si>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</si>
  <si>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</si>
  <si>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</si>
  <si>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</si>
  <si>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</si>
  <si>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</si>
  <si>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</si>
  <si>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</si>
  <si>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</si>
  <si>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</si>
  <si>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</si>
  <si>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</si>
  <si>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</si>
  <si>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</si>
  <si>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</si>
  <si>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</si>
  <si>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</si>
  <si>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</si>
  <si>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</si>
  <si>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</si>
  <si>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</si>
  <si>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</si>
  <si>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</si>
  <si>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</si>
  <si>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</si>
  <si>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</si>
  <si>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</si>
  <si>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</si>
  <si>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</si>
  <si>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</si>
  <si>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</si>
  <si>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</si>
  <si>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</si>
  <si>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</si>
  <si>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</si>
  <si>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</si>
  <si>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</si>
  <si>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</si>
  <si>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</si>
  <si>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</si>
  <si>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</si>
  <si>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</si>
  <si>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</si>
  <si>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</si>
  <si>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</si>
  <si>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</si>
  <si>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</si>
  <si>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</si>
  <si>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</si>
  <si>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</si>
  <si>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</si>
  <si>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</si>
  <si>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</si>
  <si>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</si>
  <si>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</si>
  <si>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</si>
  <si>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</si>
  <si>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</si>
  <si>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</si>
  <si>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</si>
  <si>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</si>
  <si>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</si>
  <si>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</si>
  <si>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</si>
  <si>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</si>
  <si>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</si>
  <si>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</si>
  <si>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</si>
  <si>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</si>
  <si>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</si>
  <si>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</si>
  <si>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</si>
  <si>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</si>
  <si>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</si>
  <si>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</si>
  <si>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</si>
  <si>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</si>
  <si>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</si>
  <si>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</si>
  <si>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</si>
  <si>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</si>
  <si>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</si>
  <si>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</si>
  <si>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</si>
  <si>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</si>
  <si>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</si>
  <si>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</si>
  <si>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</si>
  <si>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</si>
  <si>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</si>
  <si>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</si>
  <si>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</si>
  <si>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</si>
  <si>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</si>
  <si>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</si>
  <si>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</si>
  <si>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</si>
  <si>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</si>
  <si>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</si>
  <si>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</si>
  <si>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</si>
  <si>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</si>
  <si>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</si>
  <si>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</si>
  <si>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</si>
  <si>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</si>
  <si>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</si>
  <si>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</si>
  <si>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</si>
  <si>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</si>
  <si>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</si>
  <si>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</si>
  <si>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</si>
  <si>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</si>
  <si>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</si>
  <si>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</si>
  <si>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</si>
  <si>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</si>
  <si>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</si>
  <si>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</si>
  <si>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</si>
  <si>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</si>
  <si>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</si>
  <si>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</si>
  <si>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</si>
  <si>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</si>
  <si>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</si>
  <si>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</si>
  <si>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</si>
  <si>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</si>
  <si>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</si>
  <si>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</si>
  <si>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</si>
  <si>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</si>
  <si>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</si>
  <si>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</si>
  <si>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</si>
  <si>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</si>
  <si>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</si>
  <si>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</si>
  <si>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</si>
  <si>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</si>
  <si>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</si>
  <si>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</si>
  <si>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</si>
  <si>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</si>
  <si>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</si>
  <si>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</si>
  <si>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</si>
  <si>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</si>
  <si>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</si>
  <si>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</si>
  <si>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</si>
  <si>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</si>
  <si>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</si>
  <si>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</si>
  <si>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</si>
  <si>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</si>
  <si>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</si>
  <si>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</si>
  <si>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</si>
  <si>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</si>
  <si>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</si>
  <si>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</si>
  <si>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</si>
  <si>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</si>
  <si>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</si>
  <si>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</si>
  <si>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</si>
  <si>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</si>
  <si>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</si>
  <si>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</si>
  <si>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</si>
  <si>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</si>
  <si>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</si>
  <si>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</si>
  <si>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</si>
  <si>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</si>
  <si>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</si>
  <si>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</si>
  <si>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</si>
  <si>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</si>
  <si>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</si>
  <si>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</si>
  <si>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</si>
  <si>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</si>
  <si>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</si>
  <si>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</si>
  <si>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</si>
  <si>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</si>
  <si>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</si>
  <si>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</si>
  <si>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</si>
  <si>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</si>
  <si>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</si>
  <si>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</si>
  <si>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</si>
  <si>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</si>
  <si>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</si>
  <si>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</si>
  <si>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</si>
  <si>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</si>
  <si>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</si>
  <si>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</si>
  <si>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</si>
  <si>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</si>
  <si>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</si>
  <si>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</si>
  <si>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</si>
  <si>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</si>
  <si>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</si>
  <si>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</si>
  <si>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</si>
  <si>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</si>
  <si>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</si>
  <si>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</si>
  <si>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</si>
  <si>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</si>
  <si>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</si>
  <si>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</si>
  <si>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</si>
  <si>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</si>
  <si>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</si>
  <si>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</si>
  <si>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</si>
  <si>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</si>
  <si>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</si>
  <si>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</si>
  <si>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</si>
  <si>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</si>
  <si>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</si>
  <si>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</si>
  <si>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</si>
  <si>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</si>
  <si>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</si>
  <si>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</si>
  <si>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</si>
  <si>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</si>
  <si>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</si>
  <si>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</si>
  <si>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</si>
  <si>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</si>
  <si>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</si>
  <si>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</si>
  <si>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</si>
  <si>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</si>
  <si>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</si>
  <si>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</si>
  <si>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</si>
  <si>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</si>
  <si>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</si>
  <si>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</si>
  <si>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</si>
  <si>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</si>
  <si>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</si>
  <si>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</si>
  <si>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</si>
  <si>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</si>
  <si>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</si>
  <si>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</si>
  <si>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</si>
  <si>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</si>
  <si>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</si>
  <si>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</si>
  <si>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</si>
  <si>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</si>
  <si>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</si>
  <si>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</si>
  <si>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</si>
  <si>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</si>
  <si>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</si>
  <si>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</si>
  <si>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</si>
  <si>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</si>
  <si>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</si>
  <si>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</si>
  <si>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</si>
  <si>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</si>
  <si>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</si>
  <si>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</si>
  <si>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</si>
  <si>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</si>
  <si>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</si>
  <si>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</si>
  <si>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</si>
  <si>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</si>
  <si>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</si>
  <si>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</si>
  <si>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</si>
  <si>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</si>
  <si>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</si>
  <si>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</si>
  <si>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</si>
  <si>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</si>
  <si>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</si>
  <si>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</si>
  <si>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</si>
  <si>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</si>
  <si>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</si>
  <si>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</si>
  <si>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</si>
  <si>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</si>
  <si>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</si>
  <si>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</si>
  <si>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</si>
  <si>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</si>
  <si>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</si>
  <si>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</si>
  <si>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</si>
  <si>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</si>
  <si>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</si>
  <si>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</si>
  <si>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</si>
  <si>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</si>
  <si>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</si>
  <si>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</si>
  <si>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</si>
  <si>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</si>
  <si>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</si>
  <si>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</si>
  <si>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</si>
  <si>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</si>
  <si>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</si>
  <si>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</si>
  <si>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</si>
  <si>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</si>
  <si>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</si>
  <si>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</si>
  <si>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</si>
  <si>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</si>
  <si>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</si>
  <si>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</si>
  <si>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</si>
  <si>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</si>
  <si>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</si>
  <si>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</si>
  <si>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</si>
  <si>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</si>
  <si>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</si>
  <si>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</si>
  <si>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</si>
  <si>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</si>
  <si>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</si>
  <si>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</si>
  <si>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</si>
  <si>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</si>
  <si>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</si>
  <si>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</si>
  <si>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</si>
  <si>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</si>
  <si>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</si>
  <si>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</si>
  <si>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</si>
  <si>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</si>
  <si>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</si>
  <si>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</si>
  <si>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</si>
  <si>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</si>
  <si>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</si>
  <si>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</si>
  <si>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</si>
  <si>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</si>
  <si>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</si>
  <si>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</si>
  <si>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</si>
  <si>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</si>
  <si>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</si>
  <si>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</si>
  <si>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</si>
  <si>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</si>
  <si>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</si>
  <si>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</si>
  <si>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</si>
  <si>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</si>
  <si>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</si>
  <si>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</si>
  <si>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</si>
  <si>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</si>
  <si>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</si>
  <si>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</si>
  <si>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</si>
  <si>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</si>
  <si>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</si>
  <si>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</si>
  <si>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</si>
  <si>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</si>
  <si>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</si>
  <si>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</si>
  <si>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</si>
  <si>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</si>
  <si>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</si>
  <si>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</si>
  <si>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</si>
  <si>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</si>
  <si>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</si>
  <si>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</si>
  <si>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</si>
  <si>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</si>
  <si>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</si>
  <si>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</si>
  <si>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</si>
  <si>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</si>
  <si>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</si>
  <si>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</si>
  <si>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</si>
  <si>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</si>
  <si>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</si>
  <si>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</si>
  <si>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</si>
  <si>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</si>
  <si>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</si>
  <si>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</si>
  <si>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</si>
  <si>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</si>
  <si>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</si>
  <si>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</si>
  <si>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</si>
  <si>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</si>
  <si>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</si>
  <si>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</si>
  <si>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</si>
  <si>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</si>
  <si>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</si>
  <si>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</si>
  <si>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</si>
  <si>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</si>
  <si>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</si>
  <si>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</si>
  <si>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</si>
  <si>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</si>
  <si>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</si>
  <si>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</si>
  <si>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</si>
  <si>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</si>
  <si>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</si>
  <si>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</si>
  <si>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</si>
  <si>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</si>
  <si>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</si>
  <si>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</si>
  <si>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</si>
  <si>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</si>
  <si>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</si>
  <si>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</si>
  <si>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</si>
  <si>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</si>
  <si>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</si>
  <si>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</si>
  <si>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</si>
  <si>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</si>
  <si>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</si>
  <si>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</si>
  <si>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</si>
  <si>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</si>
  <si>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</si>
  <si>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</si>
  <si>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</si>
  <si>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</si>
  <si>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</si>
  <si>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</si>
  <si>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</si>
  <si>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</si>
  <si>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</si>
  <si>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</si>
  <si>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</si>
  <si>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</si>
  <si>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</si>
  <si>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</si>
  <si>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</si>
  <si>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</si>
  <si>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</si>
  <si>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</si>
  <si>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</si>
  <si>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</si>
  <si>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</si>
  <si>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</si>
  <si>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</si>
  <si>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</si>
  <si>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</si>
  <si>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</si>
  <si>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</si>
  <si>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</si>
  <si>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</si>
  <si>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</si>
  <si>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</si>
  <si>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</si>
  <si>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</si>
  <si>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</si>
  <si>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</si>
  <si>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</si>
  <si>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</si>
  <si>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</si>
  <si>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</si>
  <si>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</si>
  <si>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</si>
  <si>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</si>
  <si>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</si>
  <si>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</si>
  <si>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</si>
  <si>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</si>
  <si>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</si>
  <si>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</si>
  <si>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</si>
  <si>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</si>
  <si>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</si>
  <si>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</si>
  <si>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</si>
  <si>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</si>
  <si>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</si>
  <si>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</si>
  <si>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</si>
  <si>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</si>
  <si>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</si>
  <si>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</si>
  <si>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</si>
  <si>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</si>
  <si>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</si>
  <si>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</si>
  <si>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</si>
  <si>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</si>
  <si>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</si>
  <si>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</si>
  <si>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</si>
  <si>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</si>
  <si>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</si>
  <si>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</si>
  <si>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</si>
  <si>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</si>
  <si>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</si>
  <si>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</si>
  <si>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</si>
  <si>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</si>
  <si>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</si>
  <si>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</si>
  <si>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</si>
  <si>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</si>
  <si>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</si>
  <si>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</si>
  <si>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</si>
  <si>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</si>
  <si>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</si>
  <si>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</si>
  <si>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</si>
  <si>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</si>
  <si>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</si>
  <si>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</si>
  <si>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</si>
  <si>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</si>
  <si>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</si>
  <si>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</si>
  <si>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</si>
  <si>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</si>
  <si>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</si>
  <si>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</si>
  <si>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</si>
  <si>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</si>
  <si>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</si>
  <si>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</si>
  <si>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</si>
  <si>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</si>
  <si>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</si>
  <si>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</si>
  <si>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</si>
  <si>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</si>
  <si>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</si>
  <si>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</si>
  <si>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</si>
  <si>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</si>
  <si>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</si>
  <si>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</si>
  <si>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</si>
  <si>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</si>
  <si>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</si>
  <si>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</si>
  <si>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</si>
  <si>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</si>
  <si>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</si>
  <si>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</si>
  <si>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</si>
  <si>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</si>
  <si>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</si>
  <si>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</si>
  <si>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</si>
  <si>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</si>
  <si>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</si>
  <si>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</si>
  <si>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</si>
  <si>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</si>
  <si>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</si>
  <si>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</si>
  <si>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</si>
  <si>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</si>
  <si>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</si>
  <si>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</si>
  <si>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</si>
  <si>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</si>
  <si>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</si>
  <si>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</si>
  <si>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</si>
  <si>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</si>
  <si>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</si>
  <si>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</si>
  <si>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</si>
  <si>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</si>
  <si>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</si>
  <si>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</si>
  <si>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</si>
  <si>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</si>
  <si>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</si>
  <si>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</si>
  <si>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</si>
  <si>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</si>
  <si>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</si>
  <si>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</si>
  <si>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</si>
  <si>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</si>
  <si>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</si>
  <si>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</si>
  <si>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</si>
  <si>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</si>
  <si>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</si>
  <si>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</si>
  <si>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</si>
  <si>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</si>
  <si>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</si>
  <si>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</si>
  <si>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</si>
  <si>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</si>
  <si>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</si>
  <si>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</si>
  <si>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</si>
  <si>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</si>
  <si>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</si>
  <si>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</si>
  <si>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</si>
  <si>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</si>
  <si>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</si>
  <si>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</si>
  <si>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</si>
  <si>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</si>
  <si>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</si>
  <si>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</si>
  <si>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</si>
  <si>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</si>
  <si>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</si>
  <si>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</si>
  <si>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</si>
  <si>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</si>
  <si>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</si>
  <si>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</si>
  <si>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</si>
  <si>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</si>
  <si>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</si>
  <si>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</si>
  <si>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</si>
  <si>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</si>
  <si>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</si>
  <si>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</si>
  <si>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</si>
  <si>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</si>
  <si>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</si>
  <si>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</si>
  <si>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</si>
  <si>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</si>
  <si>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</si>
  <si>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</si>
  <si>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</si>
  <si>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</si>
  <si>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</si>
  <si>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</si>
  <si>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</si>
  <si>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</si>
  <si>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</si>
  <si>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</si>
  <si>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</si>
  <si>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</si>
  <si>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</si>
  <si>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</si>
  <si>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</si>
  <si>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</si>
  <si>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</si>
  <si>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</si>
  <si>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</si>
  <si>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</si>
  <si>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</si>
  <si>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</si>
  <si>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</si>
  <si>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</si>
  <si>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</si>
  <si>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</si>
  <si>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</si>
  <si>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</si>
  <si>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</si>
  <si>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</si>
  <si>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</si>
  <si>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</si>
  <si>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</si>
  <si>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</si>
  <si>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</si>
  <si>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</si>
  <si>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</si>
  <si>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</si>
  <si>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</si>
  <si>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</si>
  <si>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</si>
  <si>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</si>
  <si>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</si>
  <si>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</si>
  <si>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</si>
  <si>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</si>
  <si>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</si>
  <si>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</si>
  <si>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</si>
  <si>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</si>
  <si>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</si>
  <si>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</si>
  <si>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</si>
  <si>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</si>
  <si>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</si>
  <si>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</si>
  <si>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</si>
  <si>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</si>
  <si>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</si>
  <si>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</si>
  <si>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</si>
  <si>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</si>
  <si>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</si>
  <si>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</si>
  <si>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</si>
  <si>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</si>
  <si>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</si>
  <si>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</si>
  <si>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</si>
  <si>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</si>
  <si>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</si>
  <si>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</si>
  <si>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</si>
  <si>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</si>
  <si>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</si>
  <si>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</si>
  <si>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</si>
  <si>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</si>
  <si>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</si>
  <si>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</si>
  <si>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</si>
  <si>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</si>
  <si>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</si>
  <si>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</si>
  <si>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</si>
  <si>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</si>
  <si>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</si>
  <si>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</si>
  <si>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</si>
  <si>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</si>
  <si>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</si>
  <si>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</si>
  <si>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</si>
  <si>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</si>
  <si>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</si>
  <si>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</si>
  <si>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</si>
  <si>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</si>
  <si>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</si>
  <si>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</si>
  <si>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</si>
  <si>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</si>
  <si>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</si>
  <si>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</si>
  <si>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</si>
  <si>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</si>
  <si>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</si>
  <si>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</si>
  <si>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</si>
  <si>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</si>
  <si>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</si>
  <si>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</si>
  <si>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</si>
  <si>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</si>
  <si>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</si>
  <si>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</si>
  <si>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</si>
  <si>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</si>
  <si>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</si>
  <si>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</si>
  <si>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</si>
  <si>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</si>
  <si>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</si>
  <si>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</si>
  <si>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</si>
  <si>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</si>
  <si>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</si>
  <si>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</si>
  <si>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</si>
  <si>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</si>
  <si>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</si>
  <si>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</si>
  <si>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</si>
  <si>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</si>
  <si>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</si>
  <si>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</si>
  <si>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</si>
  <si>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</si>
  <si>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</si>
  <si>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</si>
  <si>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</si>
  <si>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</si>
  <si>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</si>
  <si>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</si>
  <si>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</si>
  <si>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</si>
  <si>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</si>
  <si>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</si>
  <si>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</si>
  <si>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</si>
  <si>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</si>
  <si>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</si>
  <si>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</si>
  <si>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</si>
  <si>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</si>
  <si>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</si>
  <si>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</si>
  <si>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</si>
  <si>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</si>
  <si>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</si>
  <si>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</si>
  <si>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</si>
  <si>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</si>
  <si>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</si>
  <si>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</si>
  <si>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</si>
  <si>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</si>
  <si>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</si>
  <si>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</si>
  <si>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</si>
  <si>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</si>
  <si>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</si>
  <si>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</si>
  <si>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</si>
  <si>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</si>
  <si>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</si>
  <si>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</si>
  <si>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</si>
  <si>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</si>
  <si>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</si>
  <si>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</si>
  <si>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</si>
  <si>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</si>
  <si>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</si>
  <si>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</si>
  <si>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</si>
  <si>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</si>
  <si>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</si>
  <si>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</si>
  <si>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</si>
  <si>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</si>
  <si>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</si>
  <si>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</si>
  <si>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</si>
  <si>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</si>
  <si>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</si>
  <si>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</si>
  <si>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</si>
  <si>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</si>
  <si>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</si>
  <si>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</si>
  <si>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</si>
  <si>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</si>
  <si>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</si>
  <si>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</si>
  <si>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</si>
  <si>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</si>
  <si>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</si>
  <si>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</si>
  <si>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</si>
  <si>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</si>
  <si>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</si>
  <si>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</si>
  <si>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</si>
  <si>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</si>
  <si>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</si>
  <si>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</si>
  <si>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</si>
  <si>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</si>
  <si>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</si>
  <si>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</si>
  <si>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</si>
  <si>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</si>
  <si>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</si>
  <si>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</si>
  <si>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</si>
  <si>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</si>
  <si>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</si>
  <si>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</si>
  <si>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</si>
  <si>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</si>
  <si>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</si>
  <si>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</si>
  <si>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</si>
  <si>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</si>
  <si>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</si>
  <si>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</si>
  <si>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</si>
  <si>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</si>
  <si>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</si>
  <si>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</si>
  <si>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</si>
  <si>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</si>
  <si>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</si>
  <si>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</si>
  <si>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</si>
  <si>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</si>
  <si>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</si>
  <si>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</si>
  <si>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</si>
  <si>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</si>
  <si>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</si>
  <si>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</si>
  <si>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</si>
  <si>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</si>
  <si>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</si>
  <si>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</si>
  <si>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</si>
  <si>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</si>
  <si>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</si>
  <si>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</si>
  <si>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</si>
  <si>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</si>
  <si>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</si>
  <si>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</si>
  <si>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</si>
  <si>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</si>
  <si>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</si>
  <si>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</si>
  <si>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</si>
  <si>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</si>
  <si>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</si>
  <si>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</si>
  <si>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</si>
  <si>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</si>
  <si>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</si>
  <si>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</si>
  <si>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</si>
  <si>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</si>
  <si>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</si>
  <si>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</si>
  <si>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</si>
  <si>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</si>
  <si>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</si>
  <si>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</si>
  <si>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</si>
  <si>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</si>
  <si>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</si>
  <si>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</si>
  <si>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</si>
  <si>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</si>
  <si>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</si>
  <si>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</si>
  <si>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</si>
  <si>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</si>
  <si>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</si>
  <si>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</si>
  <si>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</si>
  <si>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</si>
  <si>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</si>
  <si>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</si>
  <si>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</si>
  <si>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</si>
  <si>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</si>
  <si>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</si>
  <si>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</si>
  <si>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</si>
  <si>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</si>
  <si>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</si>
  <si>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</si>
  <si>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</si>
  <si>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</si>
  <si>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</si>
  <si>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</si>
  <si>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</si>
  <si>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</si>
  <si>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</si>
  <si>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</si>
  <si>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</si>
  <si>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</si>
  <si>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</si>
  <si>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</si>
  <si>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</si>
  <si>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</si>
  <si>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</si>
  <si>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</si>
  <si>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</si>
  <si>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</si>
  <si>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</si>
  <si>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</si>
  <si>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</si>
  <si>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</si>
  <si>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</si>
  <si>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</si>
  <si>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</si>
  <si>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</si>
  <si>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</si>
  <si>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</si>
  <si>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</si>
  <si>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</si>
  <si>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</si>
  <si>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</si>
  <si>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</si>
  <si>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</si>
  <si>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</si>
  <si>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</si>
  <si>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</si>
  <si>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</si>
  <si>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</si>
  <si>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</si>
  <si>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</si>
  <si>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</si>
  <si>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</si>
  <si>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</si>
  <si>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</si>
  <si>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</si>
  <si>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</si>
  <si>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</si>
  <si>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</si>
  <si>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</si>
  <si>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</si>
  <si>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</si>
  <si>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</si>
  <si>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</si>
  <si>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</si>
  <si>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</si>
  <si>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</si>
  <si>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</si>
  <si>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</si>
  <si>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</si>
  <si>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</si>
  <si>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</si>
  <si>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</si>
  <si>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</si>
  <si>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</si>
  <si>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</si>
  <si>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</si>
  <si>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</si>
  <si>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</si>
  <si>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</si>
  <si>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</si>
  <si>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</si>
  <si>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</si>
  <si>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</si>
  <si>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</si>
  <si>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</si>
  <si>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</si>
  <si>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</si>
  <si>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</si>
  <si>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</si>
  <si>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</si>
  <si>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</si>
  <si>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</si>
  <si>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</si>
  <si>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</si>
  <si>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</si>
  <si>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</si>
  <si>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</si>
  <si>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</si>
  <si>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</si>
  <si>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</si>
  <si>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</si>
  <si>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</si>
  <si>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</si>
  <si>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</si>
  <si>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</si>
  <si>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</si>
  <si>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</si>
  <si>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</si>
  <si>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</si>
  <si>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</si>
  <si>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</si>
  <si>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</si>
  <si>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</si>
  <si>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</si>
  <si>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</si>
  <si>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</si>
  <si>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</si>
  <si>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</si>
  <si>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</si>
  <si>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</si>
  <si>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</si>
  <si>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</si>
  <si>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</si>
  <si>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</si>
  <si>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</si>
  <si>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</si>
  <si>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</si>
  <si>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</si>
  <si>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</si>
  <si>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</si>
  <si>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</si>
  <si>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</si>
  <si>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</si>
  <si>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</si>
  <si>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</si>
  <si>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</si>
  <si>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</si>
  <si>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</si>
  <si>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</si>
  <si>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</si>
  <si>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</si>
  <si>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</si>
  <si>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</si>
  <si>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</si>
  <si>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</si>
  <si>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</si>
  <si>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</si>
  <si>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</si>
  <si>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</si>
  <si>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</si>
  <si>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</si>
  <si>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</si>
  <si>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</si>
  <si>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</si>
  <si>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</si>
  <si>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</si>
  <si>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</si>
  <si>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</si>
  <si>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</si>
  <si>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</si>
  <si>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</si>
  <si>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</si>
  <si>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</si>
  <si>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</si>
  <si>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</si>
  <si>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</si>
  <si>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</si>
  <si>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</si>
  <si>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</si>
  <si>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</si>
  <si>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</si>
  <si>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</si>
  <si>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</si>
  <si>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</si>
  <si>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</si>
  <si>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</si>
  <si>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</si>
  <si>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</si>
  <si>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</si>
  <si>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</si>
  <si>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</si>
  <si>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</si>
  <si>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</si>
  <si>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</si>
  <si>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</si>
  <si>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</si>
  <si>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</si>
  <si>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</si>
  <si>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</si>
  <si>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</si>
  <si>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</si>
  <si>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</si>
  <si>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</si>
  <si>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</si>
  <si>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</si>
  <si>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</si>
  <si>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</si>
  <si>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</si>
  <si>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</si>
  <si>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</si>
  <si>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</si>
  <si>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</si>
  <si>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</si>
  <si>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</si>
  <si>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</si>
  <si>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</si>
  <si>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</si>
  <si>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</si>
  <si>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</si>
  <si>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</si>
  <si>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</si>
  <si>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</si>
  <si>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</si>
  <si>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</si>
  <si>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</si>
  <si>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</si>
  <si>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</si>
  <si>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</si>
  <si>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</si>
  <si>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</si>
  <si>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</si>
  <si>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</si>
  <si>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</si>
  <si>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</si>
  <si>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</si>
  <si>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</si>
  <si>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</si>
  <si>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</si>
  <si>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</si>
  <si>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</si>
  <si>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</si>
  <si>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</si>
  <si>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</si>
  <si>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</si>
  <si>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</si>
  <si>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</si>
  <si>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</si>
  <si>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</si>
  <si>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</si>
  <si>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</si>
  <si>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</si>
  <si>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</si>
  <si>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</si>
  <si>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</si>
  <si>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</si>
  <si>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</si>
  <si>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</si>
  <si>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</si>
  <si>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</si>
  <si>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</si>
  <si>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</si>
  <si>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</si>
  <si>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</si>
  <si>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</si>
  <si>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</si>
  <si>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</si>
  <si>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</si>
  <si>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</si>
  <si>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</si>
  <si>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</si>
  <si>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</si>
  <si>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</si>
  <si>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</si>
  <si>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</si>
  <si>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</si>
  <si>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</si>
  <si>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</si>
  <si>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</si>
  <si>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</si>
  <si>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</si>
  <si>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</si>
  <si>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</si>
  <si>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</si>
  <si>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</si>
  <si>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</si>
  <si>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</si>
  <si>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</si>
  <si>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</si>
  <si>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</si>
  <si>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</si>
  <si>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</si>
  <si>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</si>
  <si>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</si>
  <si>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</si>
  <si>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</si>
  <si>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</si>
  <si>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</si>
  <si>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</si>
  <si>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</si>
  <si>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</si>
  <si>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</si>
  <si>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</si>
  <si>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</si>
  <si>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</si>
  <si>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</si>
  <si>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</si>
  <si>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</si>
  <si>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</si>
  <si>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</si>
  <si>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</si>
  <si>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</si>
  <si>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</si>
  <si>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</si>
  <si>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</si>
  <si>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</si>
  <si>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</si>
  <si>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</si>
  <si>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</si>
  <si>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</si>
  <si>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</si>
  <si>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</si>
  <si>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</si>
  <si>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</si>
  <si>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</si>
  <si>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</si>
  <si>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</si>
  <si>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</si>
  <si>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</si>
  <si>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</si>
  <si>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</si>
  <si>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</si>
  <si>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</si>
  <si>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</si>
  <si>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</si>
  <si>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</si>
  <si>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</si>
  <si>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</si>
  <si>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</si>
  <si>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</si>
  <si>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</si>
  <si>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</si>
  <si>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</si>
  <si>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</si>
  <si>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</si>
  <si>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</si>
  <si>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</si>
  <si>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</si>
  <si>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</si>
  <si>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</si>
  <si>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</si>
  <si>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</si>
  <si>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</si>
  <si>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</si>
  <si>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</si>
  <si>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</si>
  <si>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</si>
  <si>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</si>
  <si>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</si>
  <si>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</si>
  <si>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</si>
  <si>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</si>
  <si>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</si>
  <si>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</si>
  <si>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</si>
  <si>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</si>
  <si>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</si>
  <si>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</si>
  <si>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</si>
  <si>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</si>
  <si>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</si>
  <si>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</si>
  <si>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</si>
  <si>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</si>
  <si>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</si>
  <si>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</si>
  <si>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</si>
  <si>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</si>
  <si>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</si>
  <si>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</si>
  <si>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</si>
  <si>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</si>
  <si>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</si>
  <si>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</si>
  <si>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</si>
  <si>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</si>
  <si>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</si>
  <si>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</si>
  <si>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</si>
  <si>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</si>
  <si>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</si>
  <si>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</si>
  <si>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</si>
  <si>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</si>
  <si>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</si>
  <si>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</si>
  <si>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</si>
  <si>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</si>
  <si>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</si>
  <si>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</si>
  <si>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</si>
  <si>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</si>
  <si>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</si>
  <si>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</si>
  <si>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</si>
  <si>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</si>
  <si>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</si>
  <si>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</si>
  <si>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</si>
  <si>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</si>
  <si>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</si>
  <si>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</si>
  <si>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</si>
  <si>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</si>
  <si>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</si>
  <si>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</si>
  <si>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</si>
  <si>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</si>
  <si>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</si>
  <si>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</si>
  <si>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</si>
  <si>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</si>
  <si>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</si>
  <si>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</si>
  <si>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</si>
  <si>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</si>
  <si>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</si>
  <si>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</si>
  <si>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</si>
  <si>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</si>
  <si>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</si>
  <si>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</si>
  <si>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</si>
  <si>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</si>
  <si>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</si>
  <si>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</si>
  <si>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</si>
  <si>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</si>
  <si>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</si>
  <si>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</si>
  <si>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</si>
  <si>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</si>
  <si>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</si>
  <si>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</si>
  <si>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</si>
  <si>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</si>
  <si>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</si>
  <si>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</si>
  <si>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</si>
  <si>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</si>
  <si>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</si>
  <si>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</si>
  <si>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</si>
  <si>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</si>
  <si>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</si>
  <si>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</si>
  <si>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</si>
  <si>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</si>
  <si>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</si>
  <si>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</si>
  <si>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</si>
  <si>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</si>
  <si>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</si>
  <si>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</si>
  <si>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</si>
  <si>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</si>
  <si>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</si>
  <si>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</si>
  <si>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</si>
  <si>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</si>
  <si>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</si>
  <si>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</si>
  <si>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</si>
  <si>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</si>
  <si>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</si>
  <si>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</si>
  <si>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</si>
  <si>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</si>
  <si>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</si>
  <si>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</si>
  <si>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</si>
  <si>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</si>
  <si>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</si>
  <si>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</si>
  <si>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</si>
  <si>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</si>
  <si>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</si>
  <si>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</si>
  <si>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</si>
  <si>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</si>
  <si>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</si>
  <si>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</si>
  <si>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</si>
  <si>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</si>
  <si>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</si>
  <si>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</si>
  <si>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</si>
  <si>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</si>
  <si>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</si>
  <si>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</si>
  <si>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</si>
  <si>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</si>
  <si>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</si>
  <si>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</si>
  <si>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</si>
  <si>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</si>
  <si>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</si>
  <si>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</si>
  <si>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</si>
  <si>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</si>
  <si>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</si>
  <si>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</si>
  <si>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</si>
  <si>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</si>
  <si>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</si>
  <si>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</si>
  <si>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</si>
  <si>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</si>
  <si>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</si>
  <si>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</si>
  <si>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</si>
  <si>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</si>
  <si>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</si>
  <si>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</si>
  <si>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</si>
  <si>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</si>
  <si>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</si>
  <si>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</si>
  <si>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</si>
  <si>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</si>
  <si>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</si>
  <si>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</si>
  <si>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</si>
  <si>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</si>
  <si>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</si>
  <si>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</si>
  <si>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</si>
  <si>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</si>
  <si>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</si>
  <si>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</si>
  <si>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</si>
  <si>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</si>
  <si>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</si>
  <si>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</si>
  <si>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</si>
  <si>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</si>
  <si>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</si>
  <si>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</si>
  <si>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</si>
  <si>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</si>
  <si>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</si>
  <si>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</si>
  <si>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</si>
  <si>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</si>
  <si>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</si>
  <si>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</si>
  <si>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</si>
  <si>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</si>
  <si>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</si>
  <si>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</si>
  <si>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</si>
  <si>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</si>
  <si>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</si>
  <si>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</si>
  <si>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</si>
  <si>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</si>
  <si>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</si>
  <si>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</si>
  <si>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</si>
  <si>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</si>
  <si>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</si>
  <si>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</si>
  <si>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</si>
  <si>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</si>
  <si>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</si>
  <si>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</si>
  <si>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</si>
  <si>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</si>
  <si>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</si>
  <si>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</si>
  <si>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</si>
  <si>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</si>
  <si>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</si>
  <si>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</si>
  <si>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</si>
  <si>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</si>
  <si>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</si>
  <si>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</si>
  <si>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</si>
  <si>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</si>
  <si>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</si>
  <si>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</si>
  <si>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</si>
  <si>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</si>
  <si>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</si>
  <si>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</si>
  <si>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</si>
  <si>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</si>
  <si>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</si>
  <si>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</si>
  <si>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</si>
  <si>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</si>
  <si>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</si>
  <si>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</si>
  <si>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</si>
  <si>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</si>
  <si>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</si>
  <si>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</si>
  <si>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</si>
  <si>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</si>
  <si>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</si>
  <si>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</si>
  <si>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</si>
  <si>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</si>
  <si>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</si>
  <si>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</si>
  <si>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</si>
  <si>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</si>
  <si>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</si>
  <si>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</si>
  <si>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</si>
  <si>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</si>
  <si>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</si>
  <si>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</si>
  <si>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</si>
  <si>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</si>
  <si>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</si>
  <si>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</si>
  <si>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</si>
  <si>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</si>
  <si>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</si>
  <si>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</si>
  <si>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</si>
  <si>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</si>
  <si>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</si>
  <si>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</si>
  <si>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</si>
  <si>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</si>
  <si>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</si>
  <si>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</si>
  <si>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</si>
  <si>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</si>
  <si>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</si>
  <si>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</si>
  <si>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</si>
  <si>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</si>
  <si>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</si>
  <si>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</si>
  <si>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</si>
  <si>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</si>
  <si>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</si>
  <si>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</si>
  <si>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</si>
  <si>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</si>
  <si>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</si>
  <si>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</si>
  <si>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</si>
  <si>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</si>
  <si>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</si>
  <si>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</si>
  <si>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</si>
  <si>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</si>
  <si>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</si>
  <si>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</si>
  <si>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</si>
  <si>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</si>
  <si>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</si>
  <si>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</si>
  <si>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</si>
  <si>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</si>
  <si>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</si>
  <si>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</si>
  <si>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</si>
  <si>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</si>
  <si>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</si>
  <si>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</si>
  <si>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</si>
  <si>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</si>
  <si>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</si>
  <si>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</si>
  <si>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</si>
  <si>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</si>
  <si>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</si>
  <si>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</si>
  <si>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</si>
  <si>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</si>
  <si>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</si>
  <si>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</si>
  <si>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</si>
  <si>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</si>
  <si>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</si>
  <si>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</si>
  <si>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</si>
  <si>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</si>
  <si>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</si>
  <si>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</si>
  <si>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</si>
  <si>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</si>
  <si>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</si>
  <si>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</si>
  <si>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</si>
  <si>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</si>
  <si>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</si>
  <si>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</si>
  <si>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</si>
  <si>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</si>
  <si>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</si>
  <si>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</si>
  <si>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</si>
  <si>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</si>
  <si>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</si>
  <si>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</si>
  <si>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</si>
  <si>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</si>
  <si>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</si>
  <si>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</si>
  <si>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</si>
  <si>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</si>
  <si>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</si>
  <si>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</si>
  <si>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</si>
  <si>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</si>
  <si>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</si>
  <si>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</si>
  <si>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</si>
  <si>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</si>
  <si>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</si>
  <si>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</si>
  <si>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</si>
  <si>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</si>
  <si>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</si>
  <si>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</si>
  <si>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</si>
  <si>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</si>
  <si>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</si>
  <si>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</si>
  <si>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</si>
  <si>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</si>
  <si>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</si>
  <si>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</si>
  <si>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</si>
  <si>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</si>
  <si>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</si>
  <si>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</si>
  <si>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</si>
  <si>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</si>
  <si>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</si>
  <si>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</si>
  <si>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</si>
  <si>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</si>
  <si>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</si>
  <si>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</si>
  <si>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</si>
  <si>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</si>
  <si>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</si>
  <si>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</si>
  <si>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</si>
  <si>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</si>
  <si>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</si>
  <si>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</si>
  <si>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</si>
  <si>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</si>
  <si>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</si>
  <si>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</si>
  <si>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</si>
  <si>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</si>
  <si>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</si>
  <si>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</si>
  <si>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</si>
  <si>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</si>
  <si>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</si>
  <si>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</si>
  <si>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</si>
  <si>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</si>
  <si>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</si>
  <si>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</si>
  <si>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</si>
  <si>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</si>
  <si>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</si>
  <si>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</si>
  <si>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</si>
  <si>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</si>
  <si>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</si>
  <si>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</si>
  <si>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</si>
  <si>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</si>
  <si>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</si>
  <si>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</si>
  <si>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</si>
  <si>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</si>
  <si>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</si>
  <si>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</si>
  <si>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</si>
  <si>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</si>
  <si>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</si>
  <si>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</si>
  <si>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</si>
  <si>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</si>
  <si>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</si>
  <si>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</si>
  <si>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</si>
  <si>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</si>
  <si>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</si>
  <si>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</si>
  <si>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</si>
  <si>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</si>
  <si>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</si>
  <si>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</si>
  <si>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</si>
  <si>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</si>
  <si>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</si>
  <si>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</si>
  <si>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</si>
  <si>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</si>
  <si>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</si>
  <si>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</si>
  <si>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</si>
  <si>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</si>
  <si>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</si>
  <si>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</si>
  <si>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</si>
  <si>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</si>
  <si>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</si>
  <si>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</si>
  <si>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</si>
  <si>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</si>
  <si>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</si>
  <si>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</si>
  <si>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</si>
  <si>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</si>
  <si>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</si>
  <si>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</si>
  <si>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</si>
  <si>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</si>
  <si>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</si>
  <si>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</si>
  <si>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</si>
  <si>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</si>
  <si>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</si>
  <si>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</si>
  <si>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</si>
  <si>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</si>
  <si>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</si>
  <si>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</si>
  <si>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</si>
  <si>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</si>
  <si>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</si>
  <si>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</si>
  <si>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</si>
  <si>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</si>
  <si>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</si>
  <si>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</si>
  <si>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</si>
  <si>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</si>
  <si>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</si>
  <si>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</si>
  <si>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</si>
  <si>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</si>
  <si>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</si>
  <si>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</si>
  <si>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</si>
  <si>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</si>
  <si>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</si>
  <si>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</si>
  <si>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</si>
  <si>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</si>
  <si>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</si>
  <si>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</si>
  <si>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</si>
  <si>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</si>
  <si>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</si>
  <si>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</si>
  <si>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</si>
  <si>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</si>
  <si>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</si>
  <si>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</si>
  <si>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</si>
  <si>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</si>
  <si>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</si>
  <si>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</si>
  <si>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</si>
  <si>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</si>
  <si>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</si>
  <si>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</si>
  <si>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</si>
  <si>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</si>
  <si>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</si>
  <si>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</si>
  <si>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</si>
  <si>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</si>
  <si>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</si>
  <si>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</si>
  <si>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</si>
  <si>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</si>
  <si>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</si>
  <si>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</si>
  <si>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</si>
  <si>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</si>
  <si>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</si>
  <si>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</si>
  <si>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</si>
  <si>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</si>
  <si>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</si>
  <si>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</si>
  <si>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</si>
  <si>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</si>
  <si>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</si>
  <si>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</si>
  <si>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</si>
  <si>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</si>
  <si>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</si>
  <si>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</si>
  <si>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</si>
  <si>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</si>
  <si>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</si>
  <si>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</si>
  <si>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</si>
  <si>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</si>
  <si>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</si>
  <si>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</si>
  <si>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</si>
  <si>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</si>
  <si>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</si>
  <si>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</si>
  <si>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</si>
  <si>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</si>
  <si>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</si>
  <si>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</si>
  <si>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</si>
  <si>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</si>
  <si>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</si>
  <si>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</si>
  <si>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</si>
  <si>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</si>
  <si>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</si>
  <si>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</si>
  <si>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</si>
  <si>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</si>
  <si>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</si>
  <si>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</si>
  <si>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</si>
  <si>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</si>
  <si>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</si>
  <si>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</si>
  <si>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</si>
  <si>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</si>
  <si>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</si>
  <si>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</si>
  <si>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</si>
  <si>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</si>
  <si>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</si>
  <si>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</si>
  <si>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</si>
  <si>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</si>
  <si>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</si>
  <si>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</si>
  <si>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</si>
  <si>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</si>
  <si>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</si>
  <si>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</si>
  <si>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</si>
  <si>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</si>
  <si>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</si>
  <si>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</si>
  <si>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</si>
  <si>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</si>
  <si>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</si>
  <si>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</si>
  <si>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</si>
  <si>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</si>
  <si>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</si>
  <si>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</si>
  <si>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</si>
  <si>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</si>
  <si>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</si>
  <si>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</si>
  <si>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</si>
  <si>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</si>
  <si>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</si>
  <si>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</si>
  <si>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</si>
  <si>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</si>
  <si>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</si>
  <si>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</si>
  <si>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</si>
  <si>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</si>
  <si>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</si>
  <si>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</si>
  <si>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</si>
  <si>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</si>
  <si>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</si>
  <si>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</si>
  <si>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</si>
  <si>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</si>
  <si>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</si>
  <si>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</si>
  <si>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</si>
  <si>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</si>
  <si>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</si>
  <si>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</si>
  <si>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</si>
  <si>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</si>
  <si>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</si>
  <si>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</si>
  <si>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</si>
  <si>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</si>
  <si>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</si>
  <si>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</si>
  <si>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</si>
  <si>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</si>
  <si>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</si>
  <si>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</si>
  <si>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</si>
  <si>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</si>
  <si>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</si>
  <si>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</si>
  <si>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</si>
  <si>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</si>
  <si>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</si>
  <si>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</si>
  <si>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</si>
  <si>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</si>
  <si>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</si>
  <si>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</si>
  <si>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</si>
  <si>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</si>
  <si>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</si>
  <si>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</si>
  <si>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</si>
  <si>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</si>
  <si>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</si>
  <si>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</si>
  <si>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</si>
  <si>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</si>
  <si>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</si>
  <si>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</si>
  <si>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</si>
  <si>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</si>
  <si>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</si>
  <si>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</si>
  <si>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</si>
  <si>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</si>
  <si>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</si>
  <si>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</si>
  <si>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</si>
  <si>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</si>
  <si>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</si>
  <si>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</si>
  <si>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</si>
  <si>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</si>
  <si>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</si>
  <si>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</si>
  <si>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</si>
  <si>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</si>
  <si>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</si>
  <si>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</si>
  <si>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</si>
  <si>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</si>
  <si>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</si>
  <si>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</si>
  <si>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</si>
  <si>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</si>
  <si>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</si>
  <si>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</si>
  <si>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</si>
  <si>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</si>
  <si>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</si>
  <si>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</si>
  <si>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</si>
  <si>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</si>
  <si>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</si>
  <si>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</si>
  <si>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</si>
  <si>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</si>
  <si>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</si>
  <si>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</si>
  <si>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</si>
  <si>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</si>
  <si>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</si>
  <si>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</si>
  <si>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</si>
  <si>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</si>
  <si>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</si>
  <si>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</si>
  <si>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</si>
  <si>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</si>
  <si>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</si>
  <si>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</si>
  <si>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</si>
  <si>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</si>
  <si>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</si>
  <si>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</si>
  <si>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</si>
  <si>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</si>
  <si>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</si>
  <si>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</si>
  <si>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</si>
  <si>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</si>
  <si>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</si>
  <si>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</si>
  <si>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</si>
  <si>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</si>
  <si>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</si>
  <si>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</si>
  <si>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</si>
  <si>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</si>
  <si>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</si>
  <si>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</si>
  <si>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</si>
  <si>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</si>
  <si>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</si>
  <si>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</si>
  <si>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</si>
  <si>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</si>
  <si>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</si>
  <si>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</si>
  <si>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</si>
  <si>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</si>
  <si>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</si>
  <si>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</si>
  <si>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</si>
  <si>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</si>
  <si>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</si>
  <si>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</si>
  <si>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</si>
  <si>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</si>
  <si>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</si>
  <si>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</si>
  <si>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</si>
  <si>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</si>
  <si>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</si>
  <si>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</si>
  <si>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</si>
  <si>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</si>
  <si>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</si>
  <si>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</si>
  <si>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</si>
  <si>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</si>
  <si>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</si>
  <si>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</si>
  <si>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</si>
  <si>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</si>
  <si>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</si>
  <si>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</si>
  <si>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</si>
  <si>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</si>
  <si>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</si>
  <si>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</si>
  <si>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</si>
  <si>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</si>
  <si>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</si>
  <si>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</si>
  <si>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</si>
  <si>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</si>
  <si>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</si>
  <si>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</si>
  <si>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</si>
  <si>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</si>
  <si>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</si>
  <si>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</si>
  <si>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</si>
  <si>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</si>
  <si>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</si>
  <si>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</si>
  <si>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</si>
  <si>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</si>
  <si>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</si>
  <si>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</si>
  <si>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</si>
  <si>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</si>
  <si>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</si>
  <si>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</si>
  <si>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</si>
  <si>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</si>
  <si>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</si>
  <si>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</si>
  <si>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</si>
  <si>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</si>
  <si>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</si>
  <si>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</si>
  <si>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</si>
  <si>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</si>
  <si>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</si>
  <si>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</si>
  <si>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</si>
  <si>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</si>
  <si>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</si>
  <si>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</si>
  <si>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</si>
  <si>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</si>
  <si>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</si>
  <si>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</si>
  <si>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</si>
  <si>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</si>
  <si>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</si>
  <si>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</si>
  <si>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</si>
  <si>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</si>
  <si>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</si>
  <si>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</si>
  <si>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</si>
  <si>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</si>
  <si>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</si>
  <si>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</si>
  <si>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</si>
  <si>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</si>
  <si>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</si>
  <si>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</si>
  <si>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</si>
  <si>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</si>
  <si>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</si>
  <si>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</si>
  <si>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</si>
  <si>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</si>
  <si>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</si>
  <si>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</si>
  <si>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</si>
  <si>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</si>
  <si>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</si>
  <si>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</si>
  <si>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</si>
  <si>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</si>
  <si>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</si>
  <si>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</si>
  <si>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</si>
  <si>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</si>
  <si>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</si>
  <si>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</si>
  <si>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</si>
  <si>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</si>
  <si>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</si>
  <si>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</si>
  <si>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</si>
  <si>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</si>
  <si>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</si>
  <si>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</si>
  <si>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</si>
  <si>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</si>
  <si>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</si>
  <si>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</si>
  <si>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</si>
  <si>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</si>
  <si>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</si>
  <si>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</si>
  <si>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</si>
  <si>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</si>
  <si>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</si>
  <si>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</si>
  <si>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</si>
  <si>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</si>
  <si>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</si>
  <si>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</si>
  <si>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</si>
  <si>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</si>
  <si>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</si>
  <si>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</si>
  <si>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</si>
  <si>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</si>
  <si>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</si>
  <si>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</si>
  <si>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</si>
  <si>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</si>
  <si>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</si>
  <si>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</si>
  <si>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</si>
  <si>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</si>
  <si>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</si>
  <si>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</si>
  <si>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</si>
  <si>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</si>
  <si>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</si>
  <si>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</si>
  <si>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</si>
  <si>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</si>
  <si>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</si>
  <si>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</si>
  <si>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</si>
  <si>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</si>
  <si>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</si>
  <si>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</si>
  <si>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</si>
  <si>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</si>
  <si>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</si>
  <si>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</si>
  <si>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</si>
  <si>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</si>
  <si>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</si>
  <si>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</si>
  <si>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</si>
  <si>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</si>
  <si>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</si>
  <si>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</si>
  <si>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</si>
  <si>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</si>
  <si>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</si>
  <si>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</si>
  <si>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</si>
  <si>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</si>
  <si>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</si>
  <si>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</si>
  <si>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</si>
  <si>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</si>
  <si>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</si>
  <si>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</si>
  <si>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</si>
  <si>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</si>
  <si>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</si>
  <si>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</si>
  <si>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</si>
  <si>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</si>
  <si>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</si>
  <si>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</si>
  <si>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</si>
  <si>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</si>
  <si>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</si>
  <si>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</si>
  <si>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</si>
  <si>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</si>
  <si>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</si>
  <si>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</si>
  <si>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</si>
  <si>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</si>
  <si>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</si>
  <si>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</si>
  <si>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</si>
  <si>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</si>
  <si>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</si>
  <si>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</si>
  <si>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</si>
  <si>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</si>
  <si>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</si>
  <si>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</si>
  <si>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</si>
  <si>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</si>
  <si>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</si>
  <si>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</si>
  <si>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</si>
  <si>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</si>
  <si>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</si>
  <si>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</si>
  <si>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</si>
  <si>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</si>
  <si>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</si>
  <si>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</si>
  <si>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</si>
  <si>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</si>
  <si>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</si>
  <si>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</si>
  <si>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</si>
  <si>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</si>
  <si>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</si>
  <si>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</si>
  <si>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</si>
  <si>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</si>
  <si>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</si>
  <si>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</si>
  <si>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</si>
  <si>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</si>
  <si>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</si>
  <si>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</si>
  <si>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</si>
  <si>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</si>
  <si>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</si>
  <si>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</si>
  <si>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</si>
  <si>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</si>
  <si>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</si>
  <si>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</si>
  <si>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</si>
  <si>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</si>
  <si>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</si>
  <si>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</si>
  <si>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</si>
  <si>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</si>
  <si>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</si>
  <si>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</si>
  <si>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</si>
  <si>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</si>
  <si>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</si>
  <si>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</si>
  <si>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</si>
  <si>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</si>
  <si>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</si>
  <si>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</si>
  <si>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</si>
  <si>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</si>
  <si>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</si>
  <si>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</si>
  <si>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</si>
  <si>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</si>
  <si>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</si>
  <si>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</si>
  <si>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</si>
  <si>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</si>
  <si>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</si>
  <si>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</si>
  <si>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</si>
  <si>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</si>
  <si>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</si>
  <si>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</si>
  <si>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</si>
  <si>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</si>
  <si>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</si>
  <si>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</si>
  <si>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</si>
  <si>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</si>
  <si>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</si>
  <si>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</si>
  <si>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</si>
  <si>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</si>
  <si>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</si>
  <si>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</si>
  <si>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</si>
  <si>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</si>
  <si>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</si>
  <si>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</si>
  <si>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</si>
  <si>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</si>
  <si>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</si>
  <si>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</si>
  <si>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</si>
  <si>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</si>
  <si>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</si>
  <si>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</si>
  <si>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</si>
  <si>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</si>
  <si>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</si>
  <si>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</si>
  <si>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</si>
  <si>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</si>
  <si>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</si>
  <si>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</si>
  <si>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</si>
  <si>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</si>
  <si>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</si>
  <si>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</si>
  <si>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</si>
  <si>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</si>
  <si>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</si>
  <si>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</si>
  <si>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</si>
  <si>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</si>
  <si>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</si>
  <si>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</si>
  <si>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</si>
  <si>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</si>
  <si>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</si>
  <si>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</si>
  <si>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</si>
  <si>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</si>
  <si>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</si>
  <si>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</si>
  <si>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</si>
  <si>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</si>
  <si>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</si>
  <si>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</si>
  <si>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</si>
  <si>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</si>
  <si>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</si>
  <si>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</si>
  <si>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</si>
  <si>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</si>
  <si>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</si>
  <si>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</si>
  <si>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</si>
  <si>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</si>
  <si>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</si>
  <si>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</si>
  <si>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</si>
  <si>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</si>
  <si>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</si>
  <si>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</si>
  <si>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</si>
  <si>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</si>
  <si>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</si>
  <si>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</si>
  <si>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</si>
  <si>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</si>
  <si>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</si>
  <si>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</si>
  <si>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</si>
  <si>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</si>
  <si>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</si>
  <si>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</si>
  <si>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</si>
  <si>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</si>
  <si>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</si>
  <si>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</si>
  <si>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</si>
  <si>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</si>
  <si>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</si>
  <si>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</si>
  <si>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</si>
  <si>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</si>
  <si>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</si>
  <si>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</si>
  <si>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</si>
  <si>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</si>
  <si>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</si>
  <si>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</si>
  <si>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</si>
  <si>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</si>
  <si>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</si>
  <si>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</si>
  <si>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</si>
  <si>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</si>
  <si>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</si>
  <si>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</si>
  <si>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</si>
  <si>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</si>
  <si>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</si>
  <si>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</si>
  <si>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</si>
  <si>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</si>
  <si>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</si>
  <si>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</si>
  <si>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</si>
  <si>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</si>
  <si>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</si>
  <si>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</si>
  <si>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</si>
  <si>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</si>
  <si>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</si>
  <si>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</si>
  <si>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</si>
  <si>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</si>
  <si>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</si>
  <si>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</si>
  <si>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</si>
  <si>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</si>
  <si>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</si>
  <si>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</si>
  <si>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</si>
  <si>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</si>
  <si>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</si>
  <si>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</si>
  <si>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</si>
  <si>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</si>
  <si>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</si>
  <si>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</si>
  <si>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</si>
  <si>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</si>
  <si>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</si>
  <si>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</si>
  <si>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</si>
  <si>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</si>
  <si>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</si>
  <si>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</si>
  <si>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</si>
  <si>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</si>
  <si>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</si>
  <si>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</si>
  <si>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</si>
  <si>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</si>
  <si>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</si>
  <si>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</si>
  <si>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</si>
  <si>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</si>
  <si>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</si>
  <si>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</si>
  <si>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</si>
  <si>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</si>
  <si>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</si>
  <si>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</si>
  <si>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</si>
  <si>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</si>
  <si>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</si>
  <si>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</si>
  <si>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</si>
  <si>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</si>
  <si>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</si>
  <si>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</si>
  <si>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</si>
  <si>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</si>
  <si>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</si>
  <si>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</si>
  <si>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</si>
  <si>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</si>
  <si>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</si>
  <si>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</si>
  <si>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</si>
  <si>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</si>
  <si>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</si>
  <si>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</si>
  <si>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</si>
  <si>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</si>
  <si>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</si>
  <si>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</si>
  <si>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</si>
  <si>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</si>
  <si>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</si>
  <si>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</si>
  <si>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</si>
  <si>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</si>
  <si>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</si>
  <si>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</si>
  <si>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</si>
  <si>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</si>
  <si>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</si>
  <si>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</si>
  <si>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</si>
  <si>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</si>
  <si>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</si>
  <si>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</si>
  <si>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</si>
  <si>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</si>
  <si>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</si>
  <si>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</si>
  <si>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</si>
  <si>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</si>
  <si>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</si>
  <si>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</si>
  <si>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</si>
  <si>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</si>
  <si>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</si>
  <si>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</si>
  <si>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</si>
  <si>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</si>
  <si>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</si>
  <si>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</si>
  <si>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</si>
  <si>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</si>
  <si>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</si>
  <si>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</si>
  <si>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</si>
  <si>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</si>
  <si>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</si>
  <si>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</si>
  <si>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</si>
  <si>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</si>
  <si>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</si>
  <si>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</si>
  <si>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</si>
  <si>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</si>
  <si>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</si>
  <si>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</si>
  <si>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</si>
  <si>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</si>
  <si>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</si>
  <si>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</si>
  <si>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</si>
  <si>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</si>
  <si>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</si>
  <si>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</si>
  <si>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</si>
  <si>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</si>
  <si>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</si>
  <si>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</si>
  <si>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</si>
  <si>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</si>
  <si>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</si>
  <si>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</si>
  <si>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</si>
  <si>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</si>
  <si>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</si>
  <si>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</si>
  <si>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</si>
  <si>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</si>
  <si>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</si>
  <si>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</si>
  <si>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</si>
  <si>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</si>
  <si>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</si>
  <si>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</si>
  <si>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</si>
  <si>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</si>
  <si>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</si>
  <si>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</si>
  <si>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</si>
  <si>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</si>
  <si>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</si>
  <si>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</si>
  <si>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</si>
  <si>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</si>
  <si>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</si>
  <si>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</si>
  <si>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</si>
  <si>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</si>
  <si>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</si>
  <si>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</si>
  <si>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</si>
  <si>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</si>
  <si>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</si>
  <si>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</si>
  <si>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</si>
  <si>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</si>
  <si>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</si>
  <si>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</si>
  <si>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</si>
  <si>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</si>
  <si>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</si>
  <si>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</si>
  <si>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</si>
  <si>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</si>
  <si>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</si>
  <si>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</si>
  <si>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</si>
  <si>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</si>
  <si>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</si>
  <si>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</si>
  <si>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</si>
  <si>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</si>
  <si>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</si>
  <si>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</si>
  <si>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</si>
  <si>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</si>
  <si>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</si>
  <si>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</si>
  <si>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</si>
  <si>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</si>
  <si>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</si>
  <si>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</si>
  <si>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</si>
  <si>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</si>
  <si>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</si>
  <si>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</si>
  <si>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</si>
  <si>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</si>
  <si>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</si>
  <si>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</si>
  <si>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</si>
  <si>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</si>
  <si>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</si>
  <si>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</si>
  <si>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</si>
  <si>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</si>
  <si>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</si>
  <si>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</si>
  <si>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</si>
  <si>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</si>
  <si>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</si>
  <si>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</si>
  <si>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</si>
  <si>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</si>
  <si>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</si>
  <si>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</si>
  <si>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</si>
  <si>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</si>
  <si>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</si>
  <si>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</si>
  <si>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</si>
  <si>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</si>
  <si>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</si>
  <si>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</si>
  <si>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</si>
  <si>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</si>
  <si>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</si>
  <si>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</si>
  <si>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</si>
  <si>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</si>
  <si>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</si>
  <si>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</si>
  <si>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</si>
  <si>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</si>
  <si>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</si>
  <si>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</si>
  <si>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</si>
  <si>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</si>
  <si>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</si>
  <si>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</si>
  <si>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</si>
  <si>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</si>
  <si>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</si>
  <si>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</si>
  <si>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</si>
  <si>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</si>
  <si>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</si>
  <si>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</si>
  <si>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</si>
  <si>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</si>
  <si>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</si>
  <si>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</si>
  <si>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</si>
  <si>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</si>
  <si>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</si>
  <si>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</si>
  <si>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</si>
  <si>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</si>
  <si>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</si>
  <si>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</si>
  <si>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</si>
  <si>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</si>
  <si>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</si>
  <si>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</si>
  <si>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</si>
  <si>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</si>
  <si>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</si>
  <si>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</si>
  <si>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</si>
  <si>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</si>
  <si>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</si>
  <si>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</si>
  <si>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</si>
  <si>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</si>
  <si>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</si>
  <si>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</si>
  <si>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</si>
  <si>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</si>
  <si>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</si>
  <si>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</si>
  <si>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</si>
  <si>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</si>
  <si>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</si>
  <si>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</si>
  <si>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</si>
  <si>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</si>
  <si>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</si>
  <si>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</si>
  <si>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</si>
  <si>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</si>
  <si>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</si>
  <si>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</si>
  <si>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</si>
  <si>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</si>
  <si>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</si>
  <si>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</si>
  <si>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</si>
  <si>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</si>
  <si>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</si>
  <si>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</si>
  <si>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</si>
  <si>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</si>
  <si>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</si>
  <si>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</si>
  <si>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</si>
  <si>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</si>
  <si>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</si>
  <si>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</si>
  <si>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</si>
  <si>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</si>
  <si>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</si>
  <si>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</si>
  <si>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</si>
  <si>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</si>
  <si>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</si>
  <si>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</si>
  <si>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</si>
  <si>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</si>
  <si>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</si>
  <si>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</si>
  <si>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</si>
  <si>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</si>
  <si>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</si>
  <si>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</si>
  <si>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</si>
  <si>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</si>
  <si>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</si>
  <si>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</si>
  <si>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</si>
  <si>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</si>
  <si>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</si>
  <si>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</si>
  <si>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</si>
  <si>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</si>
  <si>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</si>
  <si>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</si>
  <si>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</si>
  <si>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</si>
  <si>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</si>
  <si>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</si>
  <si>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</si>
  <si>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</si>
  <si>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</si>
  <si>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</si>
  <si>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</si>
  <si>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</si>
  <si>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</si>
  <si>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</si>
  <si>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</si>
  <si>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</si>
  <si>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</si>
  <si>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</si>
  <si>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</si>
  <si>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</si>
  <si>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</si>
  <si>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</si>
  <si>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</si>
  <si>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</si>
  <si>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</si>
  <si>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</si>
  <si>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</si>
  <si>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</si>
  <si>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</si>
  <si>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</si>
  <si>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</si>
  <si>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</si>
  <si>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</si>
  <si>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</si>
  <si>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</si>
  <si>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</si>
  <si>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</si>
  <si>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</si>
  <si>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</si>
  <si>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</si>
  <si>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</si>
  <si>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</si>
  <si>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</si>
  <si>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</si>
  <si>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</si>
  <si>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</si>
  <si>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</si>
  <si>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</si>
  <si>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</si>
  <si>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</si>
  <si>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</si>
  <si>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</si>
  <si>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</si>
  <si>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</si>
  <si>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</si>
  <si>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</si>
  <si>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</si>
  <si>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</si>
  <si>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</si>
  <si>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</si>
  <si>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</si>
  <si>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</si>
  <si>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</si>
  <si>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</si>
  <si>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</si>
  <si>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</si>
  <si>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</si>
  <si>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</si>
  <si>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</si>
  <si>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</si>
  <si>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</si>
  <si>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</si>
  <si>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</si>
  <si>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</si>
  <si>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</si>
  <si>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</si>
  <si>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</si>
  <si>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</si>
  <si>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</si>
  <si>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</si>
  <si>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</si>
  <si>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</si>
  <si>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</si>
  <si>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</si>
  <si>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</si>
  <si>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</si>
  <si>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</si>
  <si>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</si>
  <si>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</si>
  <si>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</si>
  <si>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</si>
  <si>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</si>
  <si>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</si>
  <si>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</si>
  <si>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</si>
  <si>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</si>
  <si>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</si>
  <si>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</si>
  <si>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</si>
  <si>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</si>
  <si>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</si>
  <si>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</si>
  <si>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</si>
  <si>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</si>
  <si>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</si>
  <si>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</si>
  <si>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</si>
  <si>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</si>
  <si>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</si>
  <si>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</si>
  <si>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</si>
  <si>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</si>
  <si>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</si>
  <si>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</si>
  <si>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</si>
  <si>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</si>
  <si>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</si>
  <si>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</si>
  <si>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</si>
  <si>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</si>
  <si>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</si>
  <si>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</si>
  <si>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</si>
  <si>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</si>
  <si>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</si>
  <si>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</si>
  <si>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</si>
  <si>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</si>
  <si>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</si>
  <si>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</si>
  <si>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</si>
  <si>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</si>
  <si>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</si>
  <si>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</si>
  <si>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</si>
  <si>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</si>
  <si>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</si>
  <si>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</si>
  <si>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</si>
  <si>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</si>
  <si>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</si>
  <si>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</si>
  <si>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</si>
  <si>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</si>
  <si>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</si>
  <si>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</si>
  <si>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</si>
  <si>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</si>
  <si>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</si>
  <si>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</si>
  <si>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</si>
  <si>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</si>
  <si>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</si>
  <si>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</si>
  <si>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</si>
  <si>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</si>
  <si>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</si>
  <si>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</si>
  <si>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</si>
  <si>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</si>
  <si>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</si>
  <si>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</si>
  <si>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</si>
  <si>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</si>
  <si>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</si>
  <si>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</si>
  <si>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</si>
  <si>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</si>
  <si>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</si>
  <si>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</si>
  <si>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</si>
  <si>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</si>
  <si>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</si>
  <si>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</si>
  <si>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</si>
  <si>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</si>
  <si>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</si>
  <si>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</si>
  <si>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</si>
  <si>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</si>
  <si>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</si>
  <si>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</si>
  <si>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</si>
  <si>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</si>
  <si>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</si>
  <si>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</si>
  <si>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</si>
  <si>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</si>
  <si>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</si>
  <si>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</si>
  <si>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</si>
  <si>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</si>
  <si>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</si>
  <si>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</si>
  <si>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</si>
  <si>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</si>
  <si>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</si>
  <si>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</si>
  <si>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</si>
  <si>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</si>
  <si>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</si>
  <si>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</si>
  <si>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</si>
  <si>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</si>
  <si>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</si>
  <si>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</si>
  <si>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</si>
  <si>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</si>
  <si>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</si>
  <si>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</si>
  <si>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</si>
  <si>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</si>
  <si>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</si>
  <si>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</si>
  <si>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</si>
  <si>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</si>
  <si>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</si>
  <si>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</si>
  <si>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</si>
  <si>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</si>
  <si>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</si>
  <si>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</si>
  <si>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</si>
  <si>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</si>
  <si>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</si>
  <si>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</si>
  <si>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</si>
  <si>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</si>
  <si>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</si>
  <si>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</si>
  <si>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</si>
  <si>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</si>
  <si>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</si>
  <si>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</si>
  <si>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</si>
  <si>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</si>
  <si>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</si>
  <si>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</si>
  <si>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</si>
  <si>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</si>
  <si>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</si>
  <si>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</si>
  <si>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</si>
  <si>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</si>
  <si>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</si>
  <si>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</si>
  <si>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</si>
  <si>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</si>
  <si>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</si>
  <si>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</si>
  <si>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</si>
  <si>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</si>
  <si>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</si>
  <si>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</si>
  <si>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</si>
  <si>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</si>
  <si>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</si>
  <si>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</si>
  <si>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</si>
  <si>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</si>
  <si>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</si>
  <si>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</si>
  <si>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</si>
  <si>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</si>
  <si>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</si>
  <si>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</si>
  <si>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</si>
  <si>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</si>
  <si>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</si>
  <si>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</si>
  <si>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</si>
  <si>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</si>
  <si>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</si>
  <si>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</si>
  <si>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</si>
  <si>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</si>
  <si>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</si>
  <si>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</si>
  <si>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</si>
  <si>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</si>
  <si>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</si>
  <si>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</si>
  <si>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</si>
  <si>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</si>
  <si>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</si>
  <si>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</si>
  <si>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</si>
  <si>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</si>
  <si>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</si>
  <si>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</si>
  <si>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</si>
  <si>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</si>
  <si>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</si>
  <si>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</si>
  <si>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</si>
  <si>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</si>
  <si>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</si>
  <si>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</si>
  <si>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</si>
  <si>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</si>
  <si>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</si>
  <si>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</si>
  <si>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</si>
  <si>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</si>
  <si>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</si>
  <si>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</si>
  <si>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</si>
  <si>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</si>
  <si>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</si>
  <si>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</si>
  <si>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</si>
  <si>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</si>
  <si>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</si>
  <si>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</si>
  <si>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</si>
  <si>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</si>
  <si>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</si>
  <si>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</si>
  <si>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</si>
  <si>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</si>
  <si>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</si>
  <si>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</si>
  <si>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</si>
  <si>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</si>
  <si>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</si>
  <si>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</si>
  <si>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</si>
  <si>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</si>
  <si>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</si>
  <si>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</si>
  <si>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</si>
  <si>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</si>
  <si>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</si>
  <si>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</si>
  <si>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</si>
  <si>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</si>
  <si>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</si>
  <si>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</si>
  <si>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</si>
  <si>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</si>
  <si>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</si>
  <si>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</si>
  <si>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</si>
  <si>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</si>
  <si>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</si>
  <si>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</si>
  <si>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</si>
  <si>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</si>
  <si>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</si>
  <si>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</si>
  <si>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</si>
  <si>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</si>
  <si>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</si>
  <si>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</si>
  <si>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</si>
  <si>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</si>
  <si>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</si>
  <si>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</si>
  <si>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</si>
  <si>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</si>
  <si>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</si>
  <si>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</si>
  <si>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</si>
  <si>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</si>
  <si>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</si>
  <si>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</si>
  <si>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</si>
  <si>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</si>
  <si>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</si>
  <si>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</si>
  <si>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</si>
  <si>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</si>
  <si>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</si>
  <si>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</si>
  <si>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</si>
  <si>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</si>
  <si>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</si>
  <si>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</si>
  <si>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</si>
  <si>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</si>
  <si>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</si>
  <si>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</si>
  <si>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</si>
  <si>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</si>
  <si>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</si>
  <si>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</si>
  <si>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</si>
  <si>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</si>
  <si>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</si>
  <si>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</si>
  <si>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</si>
  <si>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</si>
  <si>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</si>
  <si>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</si>
  <si>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</si>
  <si>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</si>
  <si>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</si>
  <si>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</si>
  <si>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</si>
  <si>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</si>
  <si>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</si>
  <si>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</si>
  <si>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</si>
  <si>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</si>
  <si>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</si>
  <si>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</si>
  <si>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</si>
  <si>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</si>
  <si>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</si>
  <si>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</si>
  <si>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</si>
  <si>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</si>
  <si>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</si>
  <si>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</si>
  <si>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</si>
  <si>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</si>
  <si>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</si>
  <si>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</si>
  <si>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</si>
  <si>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</si>
  <si>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</si>
  <si>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</si>
  <si>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</si>
  <si>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</si>
  <si>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</si>
  <si>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</si>
  <si>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</si>
  <si>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</si>
  <si>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</si>
  <si>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</si>
  <si>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</si>
  <si>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</si>
  <si>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</si>
  <si>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</si>
  <si>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</si>
  <si>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</si>
  <si>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</si>
  <si>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</si>
  <si>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</si>
  <si>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</si>
  <si>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</si>
  <si>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</si>
  <si>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</si>
  <si>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</si>
  <si>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</si>
  <si>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</si>
  <si>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</si>
  <si>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</si>
  <si>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</si>
  <si>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</si>
  <si>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</si>
  <si>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</si>
  <si>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</si>
  <si>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</si>
  <si>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</si>
  <si>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</si>
  <si>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</si>
  <si>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</si>
  <si>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</si>
  <si>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</si>
  <si>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</si>
  <si>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</si>
  <si>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</si>
  <si>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</si>
  <si>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</si>
  <si>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</si>
  <si>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</si>
  <si>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</si>
  <si>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</si>
  <si>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</si>
  <si>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</si>
  <si>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</si>
  <si>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</si>
  <si>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</si>
  <si>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</si>
  <si>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</si>
  <si>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</si>
  <si>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</si>
  <si>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</si>
  <si>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</si>
  <si>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</si>
  <si>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</si>
  <si>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</si>
  <si>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</si>
  <si>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</si>
  <si>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</si>
  <si>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</si>
  <si>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</si>
  <si>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</si>
  <si>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</si>
  <si>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</si>
  <si>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</si>
  <si>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</si>
  <si>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</si>
  <si>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</si>
  <si>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</si>
  <si>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</si>
  <si>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</si>
  <si>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</si>
  <si>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</si>
  <si>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</si>
  <si>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</si>
  <si>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</si>
  <si>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</si>
  <si>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</si>
  <si>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</si>
  <si>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</si>
  <si>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</si>
  <si>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</si>
  <si>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</si>
  <si>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</si>
  <si>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</si>
  <si>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</si>
  <si>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</si>
  <si>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</si>
  <si>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</si>
  <si>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</si>
  <si>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</si>
  <si>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</si>
  <si>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</si>
  <si>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</si>
  <si>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</si>
  <si>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</si>
  <si>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</si>
  <si>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</si>
  <si>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</si>
  <si>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</si>
  <si>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</si>
  <si>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</si>
  <si>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</si>
  <si>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</si>
  <si>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</si>
  <si>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</si>
  <si>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</si>
  <si>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</si>
  <si>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</si>
  <si>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</si>
  <si>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</si>
  <si>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</si>
  <si>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</si>
  <si>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</si>
  <si>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</si>
  <si>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</si>
  <si>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</si>
  <si>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</si>
  <si>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</si>
  <si>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</si>
  <si>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</si>
  <si>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</si>
  <si>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</si>
  <si>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</si>
  <si>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</si>
  <si>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</si>
  <si>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</si>
  <si>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</si>
  <si>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</si>
  <si>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</si>
  <si>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</si>
  <si>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</si>
  <si>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</si>
  <si>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</si>
  <si>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</si>
  <si>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</si>
  <si>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</si>
  <si>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</si>
  <si>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</si>
  <si>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</si>
  <si>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</si>
  <si>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</si>
  <si>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</si>
  <si>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</si>
  <si>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</si>
  <si>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</si>
  <si>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</si>
  <si>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</si>
  <si>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</si>
  <si>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</si>
  <si>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</si>
  <si>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</si>
  <si>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</si>
  <si>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</si>
  <si>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</si>
  <si>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</si>
  <si>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</si>
  <si>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</si>
  <si>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</si>
  <si>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</si>
  <si>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</si>
  <si>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</si>
  <si>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</si>
  <si>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</si>
  <si>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</si>
  <si>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</si>
  <si>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</si>
  <si>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</si>
  <si>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</si>
  <si>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</si>
  <si>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</si>
  <si>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</si>
  <si>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</si>
  <si>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</si>
  <si>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</si>
  <si>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</si>
  <si>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</si>
  <si>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</si>
  <si>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</si>
  <si>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</si>
  <si>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</si>
  <si>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</si>
  <si>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</si>
  <si>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</si>
  <si>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</si>
  <si>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</si>
  <si>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</si>
  <si>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</si>
  <si>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</si>
  <si>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</si>
  <si>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</si>
  <si>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</si>
  <si>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</si>
  <si>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</si>
  <si>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</si>
  <si>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</si>
  <si>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</si>
  <si>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</si>
  <si>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</si>
  <si>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</si>
  <si>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</si>
  <si>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</si>
  <si>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</si>
  <si>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</si>
  <si>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</si>
  <si>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</si>
  <si>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</si>
  <si>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</si>
  <si>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</si>
  <si>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</si>
  <si>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</si>
  <si>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</si>
  <si>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</si>
  <si>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</si>
  <si>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</si>
  <si>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</si>
  <si>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</si>
  <si>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</si>
  <si>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</si>
  <si>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</si>
  <si>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</si>
  <si>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</si>
  <si>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</si>
  <si>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</si>
  <si>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</si>
  <si>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</si>
  <si>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</si>
  <si>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</si>
  <si>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</si>
  <si>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</si>
  <si>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</si>
  <si>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</si>
  <si>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</si>
  <si>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</si>
  <si>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</si>
  <si>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</si>
  <si>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</si>
  <si>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</si>
  <si>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</si>
  <si>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</si>
  <si>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</si>
  <si>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</si>
  <si>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</si>
  <si>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</si>
  <si>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</si>
  <si>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</si>
  <si>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</si>
  <si>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</si>
  <si>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</si>
  <si>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</si>
  <si>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</si>
  <si>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</si>
  <si>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</si>
  <si>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</si>
  <si>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</si>
  <si>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</si>
  <si>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</si>
  <si>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</si>
  <si>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</si>
  <si>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</si>
  <si>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</si>
  <si>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</si>
  <si>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</si>
  <si>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</si>
  <si>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</si>
  <si>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</si>
  <si>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</si>
  <si>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</si>
  <si>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</si>
  <si>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</si>
  <si>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</si>
  <si>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</si>
  <si>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</si>
  <si>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</si>
  <si>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</si>
  <si>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</si>
  <si>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</si>
  <si>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</si>
  <si>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</si>
  <si>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</si>
  <si>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</si>
  <si>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</si>
  <si>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</si>
  <si>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</si>
  <si>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</si>
  <si>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</si>
  <si>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</si>
  <si>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</si>
  <si>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</si>
  <si>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</si>
  <si>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</si>
  <si>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</si>
  <si>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</si>
  <si>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</si>
  <si>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</si>
  <si>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</si>
  <si>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</si>
  <si>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</si>
  <si>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</si>
  <si>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</si>
  <si>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</si>
  <si>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</si>
  <si>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</si>
  <si>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</si>
  <si>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</si>
  <si>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</si>
  <si>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</si>
  <si>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</si>
  <si>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</si>
  <si>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</si>
  <si>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</si>
  <si>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</si>
  <si>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</si>
  <si>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</si>
  <si>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</si>
  <si>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</si>
  <si>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</si>
  <si>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</si>
  <si>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</si>
  <si>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</si>
  <si>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</si>
  <si>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</si>
  <si>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</si>
  <si>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</si>
  <si>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</si>
  <si>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</si>
  <si>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</si>
  <si>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</si>
  <si>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</si>
  <si>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</si>
  <si>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</si>
  <si>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</si>
  <si>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</si>
  <si>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</si>
  <si>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</si>
  <si>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</si>
  <si>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</si>
  <si>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</si>
  <si>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</si>
  <si>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</si>
  <si>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</si>
  <si>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</si>
  <si>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</si>
  <si>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</si>
  <si>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</si>
  <si>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</si>
  <si>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</si>
  <si>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</si>
  <si>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</si>
  <si>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</si>
  <si>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</si>
  <si>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</si>
  <si>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</si>
  <si>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</si>
  <si>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</si>
  <si>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</si>
  <si>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</si>
  <si>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</si>
  <si>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</si>
  <si>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</si>
  <si>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</si>
  <si>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</si>
  <si>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</si>
  <si>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</si>
  <si>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</si>
  <si>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</si>
  <si>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</si>
  <si>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</si>
  <si>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</si>
  <si>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</si>
  <si>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</si>
  <si>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</si>
  <si>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</si>
  <si>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</si>
  <si>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</si>
  <si>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</si>
  <si>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</si>
  <si>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</si>
  <si>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</si>
  <si>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</si>
  <si>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</si>
  <si>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</si>
  <si>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</si>
  <si>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</si>
  <si>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</si>
  <si>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</si>
  <si>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</si>
  <si>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</si>
  <si>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</si>
  <si>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</si>
  <si>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</si>
  <si>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</si>
  <si>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</si>
  <si>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</si>
  <si>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</si>
  <si>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</si>
  <si>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</si>
  <si>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</si>
  <si>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</si>
  <si>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</si>
  <si>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</si>
  <si>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</si>
  <si>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</si>
  <si>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</si>
  <si>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</si>
  <si>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</si>
  <si>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</si>
  <si>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</si>
  <si>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</si>
  <si>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</si>
  <si>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</si>
  <si>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</si>
  <si>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</si>
  <si>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</si>
  <si>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</si>
  <si>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</si>
  <si>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</si>
  <si>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</si>
  <si>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</si>
  <si>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</si>
  <si>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</si>
  <si>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</si>
  <si>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</si>
  <si>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</si>
  <si>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</si>
  <si>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</si>
  <si>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</si>
  <si>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</si>
  <si>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</si>
  <si>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</si>
  <si>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</si>
  <si>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</si>
  <si>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</si>
  <si>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</si>
  <si>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</si>
  <si>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</si>
  <si>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</si>
  <si>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</si>
  <si>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</si>
  <si>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</si>
  <si>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</si>
  <si>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</si>
  <si>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</si>
  <si>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</si>
  <si>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</si>
  <si>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</si>
  <si>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</si>
  <si>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</si>
  <si>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</si>
  <si>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</si>
  <si>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</si>
  <si>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</si>
  <si>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</si>
  <si>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</si>
  <si>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</si>
  <si>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</si>
  <si>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</si>
  <si>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</si>
  <si>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</si>
  <si>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</si>
  <si>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</si>
  <si>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</si>
  <si>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</si>
  <si>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</si>
  <si>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</si>
  <si>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</si>
  <si>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</si>
  <si>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</si>
  <si>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</si>
  <si>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</si>
  <si>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</si>
  <si>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</si>
  <si>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</si>
  <si>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</si>
  <si>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</si>
  <si>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</si>
  <si>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</si>
  <si>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</si>
  <si>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</si>
  <si>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</si>
  <si>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</si>
  <si>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</si>
  <si>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</si>
  <si>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</si>
  <si>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</si>
  <si>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</si>
  <si>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</si>
  <si>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</si>
  <si>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</si>
  <si>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</si>
  <si>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</si>
  <si>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</si>
  <si>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</si>
  <si>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</si>
  <si>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</si>
  <si>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</si>
  <si>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</si>
  <si>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</si>
  <si>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</si>
  <si>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</si>
  <si>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</si>
  <si>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</si>
  <si>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</si>
  <si>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</si>
  <si>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</si>
  <si>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</si>
  <si>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</si>
  <si>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</si>
  <si>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</si>
  <si>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</si>
  <si>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</si>
  <si>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</si>
  <si>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</si>
  <si>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</si>
  <si>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</si>
  <si>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</si>
  <si>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</si>
  <si>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</si>
  <si>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</si>
  <si>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</si>
  <si>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</si>
  <si>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</si>
  <si>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</si>
  <si>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</si>
  <si>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</si>
  <si>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</si>
  <si>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</si>
  <si>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</si>
  <si>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</si>
  <si>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</si>
  <si>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</si>
  <si>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</si>
  <si>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</si>
  <si>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</si>
  <si>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</si>
  <si>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</si>
  <si>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</si>
  <si>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</si>
  <si>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</si>
  <si>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</si>
  <si>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</si>
  <si>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</si>
  <si>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</si>
  <si>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</si>
  <si>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</si>
  <si>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</si>
  <si>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</si>
  <si>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</si>
  <si>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</si>
  <si>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</si>
  <si>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</si>
  <si>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</si>
  <si>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</si>
  <si>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</si>
  <si>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</si>
  <si>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</si>
  <si>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</si>
  <si>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</si>
  <si>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</si>
  <si>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</si>
  <si>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</si>
  <si>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</si>
  <si>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</si>
  <si>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</si>
  <si>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</si>
  <si>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</si>
  <si>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</si>
  <si>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</si>
  <si>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</si>
  <si>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</si>
  <si>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</si>
  <si>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</si>
  <si>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</si>
  <si>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</si>
  <si>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</si>
  <si>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</si>
  <si>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</si>
  <si>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</si>
  <si>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</si>
  <si>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</si>
  <si>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</si>
  <si>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</si>
  <si>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</si>
  <si>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</si>
  <si>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</si>
  <si>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</si>
  <si>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</si>
  <si>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</si>
  <si>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</si>
  <si>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</si>
  <si>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</si>
  <si>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</si>
  <si>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</si>
  <si>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</si>
  <si>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</si>
  <si>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</si>
  <si>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</si>
  <si>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</si>
  <si>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</si>
  <si>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</si>
  <si>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</si>
  <si>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</si>
  <si>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</si>
  <si>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</si>
  <si>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</si>
  <si>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</si>
  <si>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</si>
  <si>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</si>
  <si>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</si>
  <si>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</si>
  <si>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</si>
  <si>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</si>
  <si>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</si>
  <si>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</si>
  <si>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</si>
  <si>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</si>
  <si>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</si>
  <si>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</si>
  <si>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</si>
  <si>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</si>
  <si>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</si>
  <si>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</si>
  <si>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</si>
  <si>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</si>
  <si>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</si>
  <si>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</si>
  <si>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</si>
  <si>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</si>
  <si>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</si>
  <si>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</si>
  <si>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</si>
  <si>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</si>
  <si>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</si>
  <si>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</si>
  <si>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</si>
  <si>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</si>
  <si>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</si>
  <si>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</si>
  <si>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</si>
  <si>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</si>
  <si>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</si>
  <si>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</si>
  <si>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</si>
  <si>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</si>
  <si>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</si>
  <si>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</si>
  <si>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</si>
  <si>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</si>
  <si>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</si>
  <si>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</si>
  <si>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</si>
  <si>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</si>
  <si>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</si>
  <si>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</si>
  <si>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</si>
  <si>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</si>
  <si>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</si>
  <si>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</si>
  <si>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</si>
  <si>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</si>
  <si>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</si>
  <si>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</si>
  <si>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</si>
  <si>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</si>
  <si>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</si>
  <si>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</si>
  <si>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</si>
  <si>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</si>
  <si>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</si>
  <si>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</si>
  <si>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</si>
  <si>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</si>
  <si>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</si>
  <si>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</si>
  <si>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</si>
  <si>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</si>
  <si>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</si>
  <si>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</si>
  <si>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</si>
  <si>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</si>
  <si>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</si>
  <si>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</si>
  <si>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</si>
  <si>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</si>
  <si>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</si>
  <si>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</si>
  <si>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</si>
  <si>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</si>
  <si>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</si>
  <si>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</si>
  <si>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</si>
  <si>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</si>
  <si>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</si>
  <si>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</si>
  <si>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</si>
  <si>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</si>
  <si>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</si>
  <si>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</si>
  <si>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</si>
  <si>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</si>
  <si>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</si>
  <si>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</si>
  <si>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</si>
  <si>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</si>
  <si>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</si>
  <si>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</si>
  <si>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</si>
  <si>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</si>
  <si>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</si>
  <si>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</si>
  <si>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</si>
  <si>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</si>
  <si>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</si>
  <si>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</si>
  <si>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</si>
  <si>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</si>
  <si>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</si>
  <si>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</si>
  <si>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</si>
  <si>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</si>
  <si>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</si>
  <si>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</si>
  <si>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</si>
  <si>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</si>
  <si>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</si>
  <si>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</si>
  <si>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</si>
  <si>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</si>
  <si>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</si>
  <si>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</si>
  <si>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</si>
  <si>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</si>
  <si>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</si>
  <si>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</si>
  <si>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</si>
  <si>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</si>
  <si>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</si>
  <si>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</si>
  <si>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</si>
  <si>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</si>
  <si>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</si>
  <si>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</si>
  <si>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</si>
  <si>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</si>
  <si>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</si>
  <si>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</si>
  <si>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</si>
  <si>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</si>
  <si>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</si>
  <si>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</si>
  <si>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</si>
  <si>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</si>
  <si>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</si>
  <si>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</si>
  <si>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</si>
  <si>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</si>
  <si>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</si>
  <si>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</si>
  <si>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</si>
  <si>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</si>
  <si>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</si>
  <si>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</si>
  <si>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</si>
  <si>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</si>
  <si>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</si>
  <si>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</si>
  <si>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</si>
  <si>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</si>
  <si>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</si>
  <si>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</si>
  <si>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</si>
  <si>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</si>
  <si>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</si>
  <si>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</si>
  <si>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</si>
  <si>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</si>
  <si>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</si>
  <si>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</si>
  <si>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</si>
  <si>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</si>
  <si>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</si>
  <si>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</si>
  <si>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</si>
  <si>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</si>
  <si>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</si>
  <si>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</si>
  <si>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</si>
  <si>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</si>
  <si>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</si>
  <si>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</si>
  <si>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</si>
  <si>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</si>
  <si>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</si>
  <si>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</si>
  <si>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</si>
  <si>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</si>
  <si>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</si>
  <si>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</si>
  <si>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</si>
  <si>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</si>
  <si>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</si>
  <si>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</si>
  <si>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</si>
  <si>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</si>
  <si>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</si>
  <si>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</si>
  <si>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</si>
  <si>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</si>
  <si>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</si>
  <si>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</si>
  <si>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</si>
  <si>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</si>
  <si>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</si>
  <si>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</si>
  <si>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</si>
  <si>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</si>
  <si>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</si>
  <si>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</si>
  <si>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</si>
  <si>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</si>
  <si>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</si>
  <si>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</si>
  <si>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</si>
  <si>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</si>
  <si>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</si>
  <si>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</si>
  <si>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</si>
  <si>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</si>
  <si>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</si>
  <si>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</si>
  <si>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</si>
  <si>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</si>
  <si>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</si>
  <si>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</si>
  <si>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</si>
  <si>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</si>
  <si>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</si>
  <si>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</si>
  <si>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</si>
  <si>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</si>
  <si>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</si>
  <si>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</si>
  <si>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</si>
  <si>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</si>
  <si>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</si>
  <si>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</si>
  <si>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</si>
  <si>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</si>
  <si>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</si>
  <si>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</si>
  <si>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</si>
  <si>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</si>
  <si>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</si>
  <si>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</si>
  <si>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</si>
  <si>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</si>
  <si>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</si>
  <si>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</si>
  <si>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</si>
  <si>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</si>
  <si>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</si>
  <si>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</si>
  <si>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</si>
  <si>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</si>
  <si>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</si>
  <si>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</si>
  <si>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</si>
  <si>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</si>
  <si>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</si>
  <si>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</si>
  <si>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</si>
  <si>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</si>
  <si>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</si>
  <si>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</si>
  <si>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</si>
  <si>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</si>
  <si>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</si>
  <si>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</si>
  <si>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</si>
  <si>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</si>
  <si>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</si>
  <si>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</si>
  <si>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</si>
  <si>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</si>
  <si>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</si>
  <si>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</si>
  <si>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</si>
  <si>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</si>
  <si>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</si>
  <si>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</si>
  <si>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</si>
  <si>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</si>
  <si>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</si>
  <si>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</si>
  <si>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</si>
  <si>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</si>
  <si>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</si>
  <si>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</si>
  <si>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</si>
  <si>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</si>
  <si>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</si>
  <si>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</si>
  <si>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</si>
  <si>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</si>
  <si>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</si>
  <si>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</si>
  <si>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</si>
  <si>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</si>
  <si>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</si>
  <si>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</si>
  <si>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</si>
  <si>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</si>
  <si>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</si>
  <si>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</si>
  <si>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</si>
  <si>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</si>
  <si>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</si>
  <si>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</si>
  <si>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</si>
  <si>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</si>
  <si>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</si>
  <si>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</si>
  <si>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</si>
  <si>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</si>
  <si>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</si>
  <si>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</si>
  <si>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</si>
  <si>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</si>
  <si>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</si>
  <si>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</si>
  <si>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</si>
  <si>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</si>
  <si>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</si>
  <si>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</si>
  <si>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</si>
  <si>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</si>
  <si>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</si>
  <si>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</si>
  <si>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</si>
  <si>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</si>
  <si>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</si>
  <si>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</si>
  <si>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</si>
  <si>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</si>
  <si>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</si>
  <si>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</si>
  <si>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</si>
  <si>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</si>
  <si>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</si>
  <si>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</si>
  <si>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</si>
  <si>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</si>
  <si>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</si>
  <si>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</si>
  <si>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</si>
  <si>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</si>
  <si>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</si>
  <si>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</si>
  <si>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</si>
  <si>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</si>
  <si>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</si>
  <si>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</si>
  <si>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</si>
  <si>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</si>
  <si>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</si>
  <si>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</si>
  <si>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</si>
  <si>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</si>
  <si>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</si>
  <si>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</si>
  <si>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</si>
  <si>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</si>
  <si>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</si>
  <si>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</si>
  <si>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</si>
  <si>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</si>
  <si>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</si>
  <si>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</si>
  <si>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</si>
  <si>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</si>
  <si>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</si>
  <si>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</si>
  <si>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</si>
  <si>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</si>
  <si>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</si>
  <si>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</si>
  <si>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</si>
  <si>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</si>
  <si>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</si>
  <si>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</si>
  <si>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</si>
  <si>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</si>
  <si>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</si>
  <si>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</si>
  <si>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</si>
  <si>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</si>
  <si>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</si>
  <si>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</si>
  <si>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</si>
  <si>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</si>
  <si>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</si>
  <si>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</si>
  <si>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</si>
  <si>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</si>
  <si>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</si>
  <si>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</si>
  <si>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</si>
  <si>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</si>
  <si>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</si>
  <si>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</si>
  <si>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</si>
  <si>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</si>
  <si>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</si>
  <si>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</si>
  <si>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</si>
  <si>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</si>
  <si>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</si>
  <si>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</si>
  <si>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</si>
  <si>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</si>
  <si>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</si>
  <si>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</si>
  <si>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</si>
  <si>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</si>
  <si>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</si>
  <si>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</si>
  <si>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</si>
  <si>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</si>
  <si>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</si>
  <si>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</si>
  <si>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</si>
  <si>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</si>
  <si>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</si>
  <si>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</si>
  <si>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</si>
  <si>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</si>
  <si>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</si>
  <si>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</si>
  <si>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</si>
  <si>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</si>
  <si>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</si>
  <si>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</si>
  <si>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</si>
  <si>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</si>
  <si>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</si>
  <si>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</si>
  <si>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</si>
  <si>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</si>
  <si>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</si>
  <si>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</si>
  <si>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</si>
  <si>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</si>
  <si>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</si>
  <si>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</si>
  <si>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</si>
  <si>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</si>
  <si>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</si>
  <si>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</si>
  <si>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</si>
  <si>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</si>
  <si>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</si>
  <si>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</si>
  <si>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</si>
  <si>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</si>
  <si>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</si>
  <si>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</si>
  <si>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</si>
  <si>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</si>
  <si>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</si>
  <si>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</si>
  <si>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</si>
  <si>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</si>
  <si>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</si>
  <si>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</si>
  <si>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</si>
  <si>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</si>
  <si>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</si>
  <si>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</si>
  <si>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</si>
  <si>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</si>
  <si>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</si>
  <si>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</si>
  <si>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</si>
  <si>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</si>
  <si>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</si>
  <si>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</si>
  <si>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</si>
  <si>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</si>
  <si>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</si>
  <si>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</si>
  <si>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</si>
  <si>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</si>
  <si>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</si>
  <si>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</si>
  <si>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</si>
  <si>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</si>
  <si>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</si>
  <si>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</si>
  <si>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</si>
  <si>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</si>
  <si>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</si>
  <si>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</si>
  <si>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</si>
  <si>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</si>
  <si>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</si>
  <si>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</si>
  <si>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</si>
  <si>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</si>
  <si>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</si>
  <si>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</si>
  <si>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</si>
  <si>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</si>
  <si>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</si>
  <si>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</si>
  <si>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</si>
  <si>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</si>
  <si>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</si>
  <si>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</si>
  <si>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</si>
  <si>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</si>
  <si>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</si>
  <si>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</si>
  <si>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</si>
  <si>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</si>
  <si>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</si>
  <si>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</si>
  <si>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</si>
  <si>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</si>
  <si>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</si>
  <si>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</si>
  <si>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</si>
  <si>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</si>
  <si>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</si>
  <si>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</si>
  <si>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</si>
  <si>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</si>
  <si>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</si>
  <si>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</si>
  <si>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</si>
  <si>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</si>
  <si>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</si>
  <si>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</si>
  <si>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</si>
  <si>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</si>
  <si>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</si>
  <si>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</si>
  <si>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</si>
  <si>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</si>
  <si>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</si>
  <si>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</si>
  <si>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</si>
  <si>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</si>
  <si>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</si>
  <si>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</si>
  <si>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</si>
  <si>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</si>
  <si>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</si>
  <si>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</si>
  <si>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</si>
  <si>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</si>
  <si>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</si>
  <si>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</si>
  <si>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</si>
  <si>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</si>
  <si>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</si>
  <si>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</si>
  <si>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</si>
  <si>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</si>
  <si>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</si>
  <si>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</si>
  <si>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</si>
  <si>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</si>
  <si>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</si>
  <si>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</si>
  <si>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</si>
  <si>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</si>
  <si>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</si>
  <si>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</si>
  <si>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</si>
  <si>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</si>
  <si>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</si>
  <si>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</si>
  <si>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</si>
  <si>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</si>
  <si>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</si>
  <si>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</si>
  <si>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</si>
  <si>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</si>
  <si>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</si>
  <si>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</si>
  <si>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</si>
  <si>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</si>
  <si>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</si>
  <si>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</si>
  <si>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</si>
  <si>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</si>
  <si>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</si>
  <si>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</si>
  <si>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</si>
  <si>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</si>
  <si>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</si>
  <si>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</si>
  <si>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</si>
  <si>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</si>
  <si>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</si>
  <si>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</si>
  <si>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</si>
  <si>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</si>
  <si>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</si>
  <si>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</si>
  <si>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</si>
  <si>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</si>
  <si>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</si>
  <si>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</si>
  <si>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</si>
  <si>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</si>
  <si>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</si>
  <si>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</si>
  <si>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</si>
  <si>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</si>
  <si>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</si>
  <si>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</si>
  <si>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</si>
  <si>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</si>
  <si>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</si>
  <si>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</si>
  <si>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</si>
  <si>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</si>
  <si>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</si>
  <si>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</si>
  <si>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</si>
  <si>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</si>
  <si>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</si>
  <si>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</si>
  <si>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</si>
  <si>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</si>
  <si>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</si>
  <si>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</si>
  <si>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</si>
  <si>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</si>
  <si>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</si>
  <si>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</si>
  <si>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</si>
  <si>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</si>
  <si>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</si>
  <si>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</si>
  <si>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</si>
  <si>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</si>
  <si>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</si>
  <si>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</si>
  <si>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</si>
  <si>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</si>
  <si>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</si>
  <si>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</si>
  <si>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</si>
  <si>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</si>
  <si>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</si>
  <si>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</si>
  <si>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</si>
  <si>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</si>
  <si>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</si>
  <si>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</si>
  <si>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</si>
  <si>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</si>
  <si>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</si>
  <si>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</si>
  <si>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</si>
  <si>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</si>
  <si>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</si>
  <si>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</si>
  <si>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</si>
  <si>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</si>
  <si>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</si>
  <si>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</si>
  <si>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</si>
  <si>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</si>
  <si>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</si>
  <si>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</si>
  <si>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</si>
  <si>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</si>
  <si>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</si>
  <si>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</si>
  <si>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</si>
  <si>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</si>
  <si>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</si>
  <si>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</si>
  <si>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</si>
  <si>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</si>
  <si>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</si>
  <si>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</si>
  <si>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</si>
  <si>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</si>
  <si>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</si>
  <si>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</si>
  <si>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</si>
  <si>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</si>
  <si>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</si>
  <si>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</si>
  <si>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</si>
  <si>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</si>
  <si>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</si>
  <si>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</si>
  <si>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</si>
  <si>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</si>
  <si>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</si>
  <si>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</si>
  <si>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</si>
  <si>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</si>
  <si>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</si>
  <si>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</si>
  <si>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</si>
  <si>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</si>
  <si>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</si>
  <si>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</si>
  <si>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</si>
  <si>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</si>
  <si>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</si>
  <si>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</si>
  <si>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</si>
  <si>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</si>
  <si>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</si>
  <si>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</si>
  <si>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</si>
  <si>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</si>
  <si>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</si>
  <si>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</si>
  <si>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</si>
  <si>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</si>
  <si>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</si>
  <si>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</si>
  <si>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</si>
  <si>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</si>
  <si>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</si>
  <si>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</si>
  <si>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</si>
  <si>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</si>
  <si>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</si>
  <si>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</si>
  <si>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</si>
  <si>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</si>
  <si>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</si>
  <si>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</si>
  <si>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</si>
  <si>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</si>
  <si>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</si>
  <si>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</si>
  <si>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</si>
  <si>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</si>
  <si>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</si>
  <si>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</si>
  <si>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</si>
  <si>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</si>
  <si>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</si>
  <si>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</si>
  <si>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</si>
  <si>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</si>
  <si>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</si>
  <si>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</si>
  <si>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</si>
  <si>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</si>
  <si>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</si>
  <si>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</si>
  <si>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</si>
  <si>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</si>
  <si>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</si>
  <si>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</si>
  <si>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</si>
  <si>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</si>
  <si>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</si>
  <si>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</si>
  <si>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</si>
  <si>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</si>
  <si>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</si>
  <si>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</si>
  <si>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</si>
  <si>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</si>
  <si>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</si>
  <si>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</si>
  <si>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</si>
  <si>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</si>
  <si>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</si>
  <si>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</si>
  <si>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</si>
  <si>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</si>
  <si>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</si>
  <si>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</si>
  <si>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</si>
  <si>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</si>
  <si>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</si>
  <si>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</si>
  <si>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</si>
  <si>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</si>
  <si>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</si>
  <si>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</si>
  <si>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</si>
  <si>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</si>
  <si>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</si>
  <si>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</si>
  <si>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</si>
  <si>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</si>
  <si>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</si>
  <si>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</si>
  <si>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</si>
  <si>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</si>
  <si>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</si>
  <si>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</si>
  <si>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</si>
  <si>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</si>
  <si>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</si>
  <si>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</si>
  <si>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</si>
  <si>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</si>
  <si>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</si>
  <si>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</si>
  <si>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</si>
  <si>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</si>
  <si>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</si>
  <si>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</si>
  <si>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</si>
  <si>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</si>
  <si>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</si>
  <si>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</si>
  <si>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</si>
  <si>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</si>
  <si>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</si>
  <si>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</si>
  <si>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</si>
  <si>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</si>
  <si>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</si>
  <si>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</si>
  <si>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</si>
  <si>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</si>
  <si>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</si>
  <si>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</si>
  <si>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</si>
  <si>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</si>
  <si>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</si>
  <si>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</si>
  <si>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</si>
  <si>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</si>
  <si>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</si>
  <si>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</si>
  <si>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</si>
  <si>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</si>
  <si>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</si>
  <si>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</si>
  <si>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</si>
  <si>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</si>
  <si>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</si>
  <si>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</si>
  <si>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</si>
  <si>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</si>
  <si>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</si>
  <si>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</si>
  <si>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</si>
  <si>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</si>
  <si>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</si>
  <si>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</si>
  <si>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</si>
  <si>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</si>
  <si>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</si>
  <si>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</si>
  <si>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</si>
  <si>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</si>
  <si>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</si>
  <si>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</si>
  <si>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</si>
  <si>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</si>
  <si>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</si>
  <si>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</si>
  <si>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</si>
  <si>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</si>
  <si>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</si>
  <si>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</si>
  <si>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</si>
  <si>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</si>
  <si>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</si>
  <si>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</si>
  <si>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</si>
  <si>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</si>
  <si>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</si>
  <si>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</si>
  <si>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</si>
  <si>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</si>
  <si>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</si>
  <si>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</si>
  <si>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</si>
  <si>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</si>
  <si>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</si>
  <si>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</si>
  <si>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</si>
  <si>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</si>
  <si>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</si>
  <si>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</si>
  <si>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</si>
  <si>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</si>
  <si>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</si>
  <si>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</si>
  <si>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</si>
  <si>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</si>
  <si>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</si>
  <si>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</si>
  <si>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</si>
  <si>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</si>
  <si>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</si>
  <si>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</si>
  <si>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</si>
  <si>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</si>
  <si>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</si>
  <si>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</si>
  <si>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</si>
  <si>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</si>
  <si>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</si>
  <si>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</si>
  <si>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</si>
  <si>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</si>
  <si>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</si>
  <si>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</si>
  <si>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</si>
  <si>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</si>
  <si>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</si>
  <si>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</si>
  <si>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</si>
  <si>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</si>
  <si>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</si>
  <si>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</si>
  <si>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</si>
  <si>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</si>
  <si>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</si>
  <si>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</si>
  <si>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</si>
  <si>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</si>
  <si>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</si>
  <si>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</si>
  <si>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</si>
  <si>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</si>
  <si>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</si>
  <si>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</si>
  <si>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</si>
  <si>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</si>
  <si>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</si>
  <si>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</si>
  <si>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</si>
  <si>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</si>
  <si>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</si>
  <si>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</si>
  <si>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</si>
  <si>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</si>
  <si>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</si>
  <si>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</si>
  <si>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</si>
  <si>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</si>
  <si>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</si>
  <si>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</si>
  <si>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</si>
  <si>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</si>
  <si>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</si>
  <si>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</si>
  <si>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</si>
  <si>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</si>
  <si>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</si>
  <si>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</si>
  <si>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</si>
  <si>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</si>
  <si>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</si>
  <si>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</si>
  <si>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</si>
  <si>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</si>
  <si>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</si>
  <si>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</si>
  <si>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</si>
  <si>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</si>
  <si>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</si>
  <si>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</si>
  <si>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</si>
  <si>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</si>
  <si>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</si>
  <si>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</si>
  <si>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</si>
  <si>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</si>
  <si>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</si>
  <si>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</si>
  <si>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</si>
  <si>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</si>
  <si>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</si>
  <si>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</si>
  <si>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</si>
  <si>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</si>
  <si>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</si>
  <si>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</si>
  <si>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</si>
  <si>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</si>
  <si>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</si>
  <si>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</si>
  <si>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</si>
  <si>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</si>
  <si>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</si>
  <si>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</si>
  <si>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</si>
  <si>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</si>
  <si>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</si>
  <si>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</si>
  <si>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</si>
  <si>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</si>
  <si>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</si>
  <si>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</si>
  <si>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</si>
  <si>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</si>
  <si>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</si>
  <si>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</si>
  <si>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</si>
  <si>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</si>
  <si>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</si>
  <si>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</si>
  <si>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</si>
  <si>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</si>
  <si>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</si>
  <si>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</si>
  <si>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</si>
  <si>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</si>
  <si>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</si>
  <si>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</si>
  <si>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</si>
  <si>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</si>
  <si>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</si>
  <si>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</si>
  <si>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</si>
  <si>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</si>
  <si>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</si>
  <si>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</si>
  <si>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</si>
  <si>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</si>
  <si>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</si>
  <si>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</si>
  <si>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</si>
  <si>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</si>
  <si>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</si>
  <si>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</si>
  <si>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</si>
  <si>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</si>
  <si>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</si>
  <si>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</si>
  <si>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</si>
  <si>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</si>
  <si>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</si>
  <si>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</si>
  <si>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</si>
  <si>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</si>
  <si>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</si>
  <si>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</si>
  <si>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</si>
  <si>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</si>
  <si>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</si>
  <si>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</si>
  <si>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</si>
  <si>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</si>
  <si>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</si>
  <si>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</si>
  <si>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</si>
  <si>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</si>
  <si>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</si>
  <si>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</si>
  <si>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</si>
  <si>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</si>
  <si>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</si>
  <si>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</si>
  <si>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</si>
  <si>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</si>
  <si>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</si>
  <si>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</si>
  <si>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</si>
  <si>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</si>
  <si>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</si>
  <si>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</si>
  <si>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</si>
  <si>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</si>
  <si>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</si>
  <si>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</si>
  <si>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</si>
  <si>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</si>
  <si>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</si>
  <si>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</si>
  <si>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</si>
  <si>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</si>
  <si>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</si>
  <si>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</si>
  <si>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</si>
  <si>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</si>
  <si>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</si>
  <si>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</si>
  <si>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</si>
  <si>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</si>
  <si>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</si>
  <si>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</si>
  <si>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</si>
  <si>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</si>
  <si>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</si>
  <si>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</si>
  <si>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</si>
  <si>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</si>
  <si>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</si>
  <si>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</si>
  <si>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</si>
  <si>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</si>
  <si>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</si>
  <si>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</si>
  <si>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</si>
  <si>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</si>
  <si>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</si>
  <si>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</si>
  <si>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</si>
  <si>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</si>
  <si>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</si>
  <si>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</si>
  <si>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</si>
  <si>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</si>
  <si>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</si>
  <si>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</si>
  <si>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</si>
  <si>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</si>
  <si>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</si>
  <si>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</si>
  <si>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</si>
  <si>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</si>
  <si>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</si>
  <si>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</si>
  <si>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</si>
  <si>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</si>
  <si>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</si>
  <si>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</si>
  <si>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</si>
  <si>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</si>
  <si>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</si>
  <si>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</si>
  <si>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</si>
  <si>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</si>
  <si>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</si>
  <si>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</si>
  <si>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</si>
  <si>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</si>
  <si>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</si>
  <si>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</si>
  <si>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</si>
  <si>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</si>
  <si>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</si>
  <si>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</si>
  <si>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</si>
  <si>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</si>
  <si>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</si>
  <si>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</si>
  <si>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</si>
  <si>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</si>
  <si>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</si>
  <si>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</si>
  <si>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</si>
  <si>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</si>
  <si>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</si>
  <si>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</si>
  <si>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</si>
  <si>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</si>
  <si>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</si>
  <si>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</si>
  <si>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</si>
  <si>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</si>
  <si>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</si>
  <si>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</si>
  <si>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</si>
  <si>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</si>
  <si>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</si>
  <si>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</si>
  <si>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</si>
  <si>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</si>
  <si>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</si>
  <si>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</si>
  <si>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</si>
  <si>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</si>
  <si>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</si>
  <si>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</si>
  <si>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</si>
  <si>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</si>
  <si>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</si>
  <si>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</si>
  <si>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</si>
  <si>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</si>
  <si>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</si>
  <si>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</si>
  <si>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</si>
  <si>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</si>
  <si>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</si>
  <si>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</si>
  <si>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</si>
  <si>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</si>
  <si>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</si>
  <si>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</si>
  <si>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</si>
  <si>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</si>
  <si>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</si>
  <si>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</si>
  <si>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</si>
  <si>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</si>
  <si>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</si>
  <si>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</si>
  <si>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</si>
  <si>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</si>
  <si>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</si>
  <si>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</si>
  <si>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</si>
  <si>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</si>
  <si>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</si>
  <si>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</si>
  <si>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</si>
  <si>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</si>
  <si>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</si>
  <si>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</si>
  <si>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</si>
  <si>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</si>
  <si>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</si>
  <si>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</si>
  <si>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</si>
  <si>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</si>
  <si>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</si>
  <si>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</si>
  <si>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</si>
  <si>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</si>
  <si>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</si>
  <si>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</si>
  <si>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</si>
  <si>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</si>
  <si>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</si>
  <si>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</si>
  <si>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</si>
  <si>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</si>
  <si>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</si>
  <si>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</si>
  <si>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</si>
  <si>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</si>
  <si>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</si>
  <si>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</si>
  <si>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</si>
  <si>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</si>
  <si>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</si>
  <si>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</si>
  <si>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</si>
  <si>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</si>
  <si>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</si>
  <si>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</si>
  <si>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</si>
  <si>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</si>
  <si>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</si>
  <si>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</si>
  <si>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</si>
  <si>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</si>
  <si>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</si>
  <si>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</si>
  <si>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</si>
  <si>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</si>
  <si>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</si>
  <si>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</si>
  <si>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</si>
  <si>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</si>
  <si>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</si>
  <si>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</si>
  <si>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</si>
  <si>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</si>
  <si>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</si>
  <si>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</si>
  <si>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</si>
  <si>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</si>
  <si>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</si>
  <si>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</si>
  <si>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</si>
  <si>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</si>
  <si>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</si>
  <si>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</si>
  <si>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</si>
  <si>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</si>
  <si>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</si>
  <si>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</si>
  <si>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</si>
  <si>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</si>
  <si>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</si>
  <si>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</si>
  <si>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</si>
  <si>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</si>
  <si>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</si>
  <si>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</si>
  <si>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</si>
  <si>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</si>
  <si>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</si>
  <si>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</si>
  <si>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</si>
  <si>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</si>
  <si>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</si>
  <si>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</si>
  <si>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</si>
  <si>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</si>
  <si>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</si>
  <si>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</si>
  <si>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</si>
  <si>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</si>
  <si>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</si>
  <si>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</si>
  <si>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</si>
  <si>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</si>
  <si>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</si>
  <si>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</si>
  <si>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</si>
  <si>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</si>
  <si>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</si>
  <si>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</si>
  <si>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</si>
  <si>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</si>
  <si>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</si>
  <si>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</si>
  <si>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</si>
  <si>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</si>
  <si>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</si>
  <si>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</si>
  <si>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</si>
  <si>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</si>
  <si>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</si>
  <si>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</si>
  <si>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</si>
  <si>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</si>
  <si>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</si>
  <si>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</si>
  <si>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</si>
  <si>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</si>
  <si>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</si>
  <si>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</si>
  <si>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</si>
  <si>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</si>
  <si>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</si>
  <si>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</si>
  <si>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</si>
  <si>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</si>
  <si>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</si>
  <si>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</si>
  <si>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</si>
  <si>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</si>
  <si>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</si>
  <si>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</si>
  <si>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</si>
  <si>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</si>
  <si>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</si>
  <si>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</si>
  <si>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</si>
  <si>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</si>
  <si>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</si>
  <si>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</si>
  <si>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</si>
  <si>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</si>
  <si>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</si>
  <si>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</si>
  <si>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</si>
  <si>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</si>
  <si>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</si>
  <si>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</si>
  <si>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</si>
  <si>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</si>
  <si>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</si>
  <si>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</si>
  <si>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</si>
  <si>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</si>
  <si>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</si>
  <si>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</si>
  <si>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</si>
  <si>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</si>
  <si>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</si>
  <si>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</si>
  <si>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</si>
  <si>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</si>
  <si>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</si>
  <si>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</si>
  <si>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</si>
  <si>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</si>
  <si>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</si>
  <si>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</si>
  <si>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</si>
  <si>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</si>
  <si>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</si>
  <si>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</si>
  <si>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</si>
  <si>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</si>
  <si>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</si>
  <si>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</si>
  <si>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</si>
  <si>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</si>
  <si>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</si>
  <si>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</si>
  <si>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</si>
  <si>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</si>
  <si>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</si>
  <si>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</si>
  <si>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</si>
  <si>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</si>
  <si>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</si>
  <si>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</si>
  <si>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</si>
  <si>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</si>
  <si>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</si>
  <si>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</si>
  <si>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</si>
  <si>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</si>
  <si>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</si>
  <si>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</si>
  <si>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</si>
  <si>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</si>
  <si>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</si>
  <si>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</si>
  <si>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</si>
  <si>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</si>
  <si>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</si>
  <si>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</si>
  <si>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</si>
  <si>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</si>
  <si>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</si>
  <si>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</si>
  <si>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</si>
  <si>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</si>
  <si>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</si>
  <si>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</si>
  <si>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</si>
  <si>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</si>
  <si>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</si>
  <si>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</si>
  <si>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</si>
  <si>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</si>
  <si>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</si>
  <si>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</si>
  <si>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</si>
  <si>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</si>
  <si>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</si>
  <si>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</si>
  <si>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</si>
  <si>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</si>
  <si>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</si>
  <si>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</si>
  <si>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</si>
  <si>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</si>
  <si>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</si>
  <si>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</si>
  <si>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</si>
  <si>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</si>
  <si>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</si>
  <si>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</si>
  <si>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</si>
  <si>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</si>
  <si>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</si>
  <si>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</si>
  <si>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</si>
  <si>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</si>
  <si>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</si>
  <si>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</si>
  <si>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</si>
  <si>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</si>
  <si>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</si>
  <si>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</si>
  <si>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</si>
  <si>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</si>
  <si>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</si>
  <si>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</si>
  <si>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</si>
  <si>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</si>
  <si>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</si>
  <si>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</si>
  <si>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</si>
  <si>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</si>
  <si>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</si>
  <si>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</si>
  <si>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</si>
  <si>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</si>
  <si>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</si>
  <si>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</si>
  <si>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</si>
  <si>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</si>
  <si>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</si>
  <si>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</si>
  <si>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</si>
  <si>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</si>
  <si>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</si>
  <si>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</si>
  <si>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</si>
  <si>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</si>
  <si>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</si>
  <si>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</si>
  <si>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</si>
  <si>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</si>
  <si>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</si>
  <si>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</si>
  <si>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</si>
  <si>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</si>
  <si>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</si>
  <si>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</si>
  <si>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</si>
  <si>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</si>
  <si>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</si>
  <si>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</si>
  <si>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</si>
  <si>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</si>
  <si>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</si>
  <si>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</si>
  <si>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</si>
  <si>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</si>
  <si>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</si>
  <si>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</si>
  <si>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</si>
  <si>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</si>
  <si>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</si>
  <si>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</si>
  <si>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</si>
  <si>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</si>
  <si>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</si>
  <si>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</si>
  <si>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</si>
  <si>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</si>
  <si>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</si>
  <si>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</si>
  <si>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</si>
  <si>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</si>
  <si>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</si>
  <si>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</si>
  <si>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</si>
  <si>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</si>
  <si>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</si>
  <si>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</si>
  <si>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</si>
  <si>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</si>
  <si>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</si>
  <si>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</si>
  <si>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</si>
  <si>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</si>
  <si>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</si>
  <si>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</si>
  <si>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</si>
  <si>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</si>
  <si>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</si>
  <si>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</si>
  <si>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</si>
  <si>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</si>
  <si>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</si>
  <si>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</si>
  <si>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</si>
  <si>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</si>
  <si>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</si>
  <si>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</si>
  <si>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</si>
  <si>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</si>
  <si>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</si>
  <si>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</si>
  <si>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</si>
  <si>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</si>
  <si>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</si>
  <si>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</si>
  <si>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</si>
  <si>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</si>
  <si>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</si>
  <si>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</si>
  <si>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</si>
  <si>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</si>
  <si>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</si>
  <si>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</si>
  <si>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</si>
  <si>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</si>
  <si>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</si>
  <si>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</si>
  <si>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</si>
  <si>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</si>
  <si>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</si>
  <si>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</si>
  <si>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</si>
  <si>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</si>
  <si>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</si>
  <si>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</si>
  <si>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</si>
  <si>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</si>
  <si>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</si>
  <si>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</si>
  <si>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</si>
  <si>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</si>
  <si>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</si>
  <si>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</si>
  <si>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</si>
  <si>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</si>
  <si>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</si>
  <si>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</si>
  <si>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</si>
  <si>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</si>
  <si>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</si>
  <si>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</si>
  <si>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</si>
  <si>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</si>
  <si>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</si>
  <si>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</si>
  <si>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</si>
  <si>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</si>
  <si>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</si>
  <si>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</si>
  <si>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</si>
  <si>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</si>
  <si>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</si>
  <si>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</si>
  <si>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</si>
  <si>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</si>
  <si>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</si>
  <si>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</si>
  <si>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</si>
  <si>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</si>
  <si>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</si>
  <si>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</si>
  <si>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</si>
  <si>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</si>
  <si>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</si>
  <si>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</si>
  <si>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</si>
  <si>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</si>
  <si>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</si>
  <si>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</si>
  <si>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</si>
  <si>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</si>
  <si>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</si>
  <si>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</si>
  <si>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</si>
  <si>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</si>
  <si>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</si>
  <si>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</si>
  <si>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</si>
  <si>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</si>
  <si>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</si>
  <si>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</si>
  <si>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</si>
  <si>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</si>
  <si>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</si>
  <si>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</si>
  <si>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</si>
  <si>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</si>
  <si>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</si>
  <si>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</si>
  <si>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</si>
  <si>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</si>
  <si>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</si>
  <si>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</si>
  <si>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</si>
  <si>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</si>
  <si>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</si>
  <si>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</si>
  <si>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</si>
  <si>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</si>
  <si>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</si>
  <si>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</si>
  <si>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</si>
  <si>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</si>
  <si>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</si>
  <si>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</si>
  <si>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</si>
  <si>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</si>
  <si>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</si>
  <si>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</si>
  <si>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</si>
  <si>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</si>
  <si>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</si>
  <si>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</si>
  <si>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</si>
  <si>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</si>
  <si>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</si>
  <si>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</si>
  <si>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</si>
  <si>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</si>
  <si>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</si>
  <si>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</si>
  <si>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</si>
  <si>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</si>
  <si>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</si>
  <si>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</si>
  <si>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</si>
  <si>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</si>
  <si>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</si>
  <si>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</si>
  <si>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</si>
  <si>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</si>
  <si>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</si>
  <si>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</si>
  <si>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</si>
  <si>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</si>
  <si>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</si>
  <si>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</si>
  <si>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</si>
  <si>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</si>
  <si>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</si>
  <si>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</si>
  <si>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</si>
  <si>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</si>
  <si>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</si>
  <si>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</si>
  <si>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</si>
  <si>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</si>
  <si>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</si>
  <si>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</si>
  <si>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</si>
  <si>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</si>
  <si>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</si>
  <si>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</si>
  <si>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</si>
  <si>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</si>
  <si>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</si>
  <si>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</si>
  <si>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</si>
  <si>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</si>
  <si>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</si>
  <si>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</si>
  <si>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</si>
  <si>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</si>
  <si>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</si>
  <si>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</si>
  <si>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</si>
  <si>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</si>
  <si>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</si>
  <si>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</si>
  <si>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</si>
  <si>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</si>
  <si>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</si>
  <si>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</si>
  <si>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</si>
  <si>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</si>
  <si>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</si>
  <si>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</si>
  <si>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</si>
  <si>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</si>
  <si>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</si>
  <si>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</si>
  <si>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</si>
  <si>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</si>
  <si>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</si>
  <si>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</si>
  <si>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</si>
  <si>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</si>
  <si>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</si>
  <si>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</si>
  <si>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</si>
  <si>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</si>
  <si>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</si>
  <si>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</si>
  <si>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</si>
  <si>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</si>
  <si>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</si>
  <si>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</si>
  <si>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</si>
  <si>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</si>
  <si>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</si>
  <si>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</si>
  <si>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</si>
  <si>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</si>
  <si>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</si>
  <si>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</si>
  <si>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</si>
  <si>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</si>
  <si>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</si>
  <si>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</si>
  <si>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</si>
  <si>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</si>
  <si>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</si>
  <si>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</si>
  <si>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</si>
  <si>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</si>
  <si>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</si>
  <si>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</si>
  <si>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</si>
  <si>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</si>
  <si>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</si>
  <si>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</si>
  <si>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</si>
  <si>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</si>
  <si>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</si>
  <si>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</si>
  <si>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</si>
  <si>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</si>
  <si>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</si>
  <si>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</si>
  <si>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</si>
  <si>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</si>
  <si>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</si>
  <si>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</si>
  <si>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</si>
  <si>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</si>
  <si>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</si>
  <si>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</si>
  <si>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</si>
  <si>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</si>
  <si>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</si>
  <si>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</si>
  <si>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</si>
  <si>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</si>
  <si>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</si>
  <si>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</si>
  <si>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</si>
  <si>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</si>
  <si>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</si>
  <si>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</si>
  <si>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</si>
  <si>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</si>
  <si>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</si>
  <si>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</si>
  <si>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</si>
  <si>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</si>
  <si>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</si>
  <si>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</si>
  <si>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</si>
  <si>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</si>
  <si>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</si>
  <si>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</si>
  <si>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</si>
  <si>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</si>
  <si>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</si>
  <si>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</si>
  <si>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</si>
  <si>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</si>
  <si>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</si>
  <si>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</si>
  <si>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</si>
  <si>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</si>
  <si>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</si>
  <si>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</si>
  <si>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</si>
  <si>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</si>
  <si>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</si>
  <si>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</si>
  <si>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</si>
  <si>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</si>
  <si>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</si>
  <si>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</si>
  <si>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</si>
  <si>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</si>
  <si>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</si>
  <si>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</si>
  <si>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</si>
  <si>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</si>
  <si>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</si>
  <si>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</si>
  <si>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</si>
  <si>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</si>
  <si>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</si>
  <si>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</si>
  <si>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</si>
  <si>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</si>
  <si>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</si>
  <si>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</si>
  <si>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</si>
  <si>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</si>
  <si>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</si>
  <si>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</si>
  <si>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</si>
  <si>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</si>
  <si>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</si>
  <si>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</si>
  <si>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</si>
  <si>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</si>
  <si>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</si>
  <si>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</si>
  <si>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</si>
  <si>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</si>
  <si>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</si>
  <si>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</si>
  <si>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</si>
  <si>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</si>
  <si>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</si>
  <si>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</si>
  <si>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</si>
  <si>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</si>
  <si>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</si>
  <si>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</si>
  <si>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</si>
  <si>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</si>
  <si>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</si>
  <si>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</si>
  <si>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</si>
  <si>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</si>
  <si>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</si>
  <si>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</si>
  <si>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</si>
  <si>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</si>
  <si>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</si>
  <si>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</si>
  <si>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</si>
  <si>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</si>
  <si>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</si>
  <si>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</si>
  <si>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</si>
  <si>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</si>
  <si>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</si>
  <si>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</si>
  <si>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</si>
  <si>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</si>
  <si>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</si>
  <si>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</si>
  <si>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</si>
  <si>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</si>
  <si>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</si>
  <si>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</si>
  <si>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</si>
  <si>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</si>
  <si>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</si>
  <si>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</si>
  <si>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</si>
  <si>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</si>
  <si>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</si>
  <si>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</si>
  <si>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</si>
  <si>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</si>
  <si>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</si>
  <si>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</si>
  <si>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</si>
  <si>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</si>
  <si>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</si>
  <si>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</si>
  <si>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</si>
  <si>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</si>
  <si>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</si>
  <si>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</si>
  <si>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</si>
  <si>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</si>
  <si>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</si>
  <si>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</si>
  <si>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</si>
  <si>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</si>
  <si>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</si>
  <si>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</si>
  <si>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</si>
  <si>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</si>
  <si>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</si>
  <si>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</si>
  <si>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</si>
  <si>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</si>
  <si>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</si>
  <si>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</si>
  <si>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</si>
  <si>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</si>
  <si>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</si>
  <si>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</si>
  <si>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</si>
  <si>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</si>
  <si>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</si>
  <si>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</si>
  <si>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</si>
  <si>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</si>
  <si>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</si>
  <si>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</si>
  <si>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</si>
  <si>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</si>
  <si>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</si>
  <si>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</si>
  <si>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</si>
  <si>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</si>
  <si>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</si>
  <si>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</si>
  <si>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</si>
  <si>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</si>
  <si>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</si>
  <si>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</si>
  <si>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</si>
  <si>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</si>
  <si>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</si>
  <si>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</si>
  <si>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</si>
  <si>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</si>
  <si>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</si>
  <si>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</si>
  <si>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</si>
  <si>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</si>
  <si>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</si>
  <si>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</si>
  <si>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</si>
  <si>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</si>
  <si>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</si>
  <si>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</si>
  <si>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</si>
  <si>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</si>
  <si>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</si>
  <si>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</si>
  <si>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</si>
  <si>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</si>
  <si>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</si>
  <si>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</si>
  <si>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</si>
  <si>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</si>
  <si>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</si>
  <si>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</si>
  <si>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</si>
  <si>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</si>
  <si>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</si>
  <si>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</si>
  <si>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</si>
  <si>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</si>
  <si>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</si>
  <si>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</si>
  <si>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</si>
  <si>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</si>
  <si>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</si>
  <si>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</si>
  <si>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</si>
  <si>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</si>
  <si>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</si>
  <si>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</si>
  <si>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</si>
  <si>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</si>
  <si>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</si>
  <si>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</si>
  <si>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</si>
  <si>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</si>
  <si>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</si>
  <si>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</si>
  <si>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</si>
  <si>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</si>
  <si>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</si>
  <si>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</si>
  <si>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</si>
  <si>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</si>
  <si>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</si>
  <si>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</si>
  <si>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</si>
  <si>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</si>
  <si>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</si>
  <si>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</si>
  <si>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</si>
  <si>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</si>
  <si>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</si>
  <si>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</si>
  <si>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</si>
  <si>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</si>
  <si>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</si>
  <si>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</si>
  <si>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</si>
  <si>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</si>
  <si>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</si>
  <si>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</si>
  <si>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</si>
  <si>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</si>
  <si>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</si>
  <si>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</si>
  <si>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</si>
  <si>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</si>
  <si>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</si>
  <si>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</si>
  <si>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</si>
  <si>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</si>
  <si>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</si>
  <si>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</si>
  <si>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</si>
  <si>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</si>
  <si>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</si>
  <si>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</si>
  <si>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</si>
  <si>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</si>
  <si>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</si>
  <si>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</si>
  <si>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</si>
  <si>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</si>
  <si>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</si>
  <si>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</si>
  <si>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</si>
  <si>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</si>
  <si>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</si>
  <si>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</si>
  <si>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</si>
  <si>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</si>
  <si>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</si>
  <si>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</si>
  <si>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</si>
  <si>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</si>
  <si>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</si>
  <si>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</si>
  <si>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</si>
  <si>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</si>
  <si>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</si>
  <si>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</si>
  <si>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</si>
  <si>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</si>
  <si>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</si>
  <si>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</si>
  <si>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</si>
  <si>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</si>
  <si>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</si>
  <si>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</si>
  <si>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</si>
  <si>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</si>
  <si>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</si>
  <si>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</si>
  <si>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</si>
  <si>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</si>
  <si>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</si>
  <si>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</si>
  <si>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</si>
  <si>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</si>
  <si>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</si>
  <si>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</si>
  <si>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</si>
  <si>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</si>
  <si>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</si>
  <si>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</si>
  <si>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</si>
  <si>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</si>
  <si>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</si>
  <si>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</si>
  <si>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</si>
  <si>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</si>
  <si>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</si>
  <si>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</si>
  <si>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</si>
  <si>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</si>
  <si>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</si>
  <si>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</si>
  <si>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</si>
  <si>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</si>
  <si>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</si>
  <si>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</si>
  <si>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</si>
  <si>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</si>
  <si>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</si>
  <si>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</si>
  <si>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</si>
  <si>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</si>
  <si>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</si>
  <si>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</si>
  <si>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</si>
  <si>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</si>
  <si>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</si>
  <si>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</si>
  <si>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</si>
  <si>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</si>
  <si>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</si>
  <si>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</si>
  <si>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</si>
  <si>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</si>
  <si>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</si>
  <si>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</si>
  <si>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</si>
  <si>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</si>
  <si>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</si>
  <si>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</si>
  <si>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</si>
  <si>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</si>
  <si>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</si>
  <si>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</si>
  <si>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</si>
  <si>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</si>
  <si>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</si>
  <si>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</si>
  <si>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</si>
  <si>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</si>
  <si>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</si>
  <si>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</si>
  <si>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</si>
  <si>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</si>
  <si>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</si>
  <si>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</si>
  <si>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</si>
  <si>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</si>
  <si>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</si>
  <si>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</si>
  <si>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</si>
  <si>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</si>
  <si>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</si>
  <si>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</si>
  <si>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</si>
  <si>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</si>
  <si>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</si>
  <si>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</si>
  <si>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</si>
  <si>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</si>
  <si>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</si>
  <si>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</si>
  <si>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</si>
  <si>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</si>
  <si>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</si>
  <si>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</si>
  <si>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</si>
  <si>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</si>
  <si>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</si>
  <si>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</si>
  <si>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</si>
  <si>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</si>
  <si>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</si>
  <si>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</si>
  <si>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</si>
  <si>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</si>
  <si>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</si>
  <si>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</si>
  <si>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</si>
  <si>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</si>
  <si>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</si>
  <si>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</si>
  <si>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</si>
  <si>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</si>
  <si>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</si>
  <si>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</si>
  <si>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</si>
  <si>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</si>
  <si>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</si>
  <si>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</si>
  <si>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</si>
  <si>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</si>
  <si>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</si>
  <si>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</si>
  <si>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</si>
  <si>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</si>
  <si>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</si>
  <si>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</si>
  <si>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</si>
  <si>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</si>
  <si>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</si>
  <si>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</si>
  <si>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</si>
  <si>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</si>
  <si>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</si>
  <si>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</si>
  <si>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</si>
  <si>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</si>
  <si>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</si>
  <si>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</si>
  <si>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</si>
  <si>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</si>
  <si>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</si>
  <si>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</si>
  <si>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</si>
  <si>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</si>
  <si>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</si>
  <si>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</si>
  <si>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</si>
  <si>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</si>
  <si>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</si>
  <si>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</si>
  <si>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</si>
  <si>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</si>
  <si>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</si>
  <si>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</si>
  <si>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</si>
  <si>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</si>
  <si>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</si>
  <si>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</si>
  <si>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</si>
  <si>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</si>
  <si>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</si>
  <si>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</si>
  <si>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</si>
  <si>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</si>
  <si>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</si>
  <si>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</si>
  <si>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</si>
  <si>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</si>
  <si>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</si>
  <si>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</si>
  <si>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</si>
  <si>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</si>
  <si>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</si>
  <si>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</si>
  <si>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</si>
  <si>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</si>
  <si>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</si>
  <si>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</si>
  <si>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</si>
  <si>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</si>
  <si>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</si>
  <si>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</si>
  <si>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</si>
  <si>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</si>
  <si>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</si>
  <si>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</si>
  <si>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</si>
  <si>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</si>
  <si>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</si>
  <si>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</si>
  <si>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</si>
  <si>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</si>
  <si>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</si>
  <si>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</si>
  <si>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</si>
  <si>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</si>
  <si>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</si>
  <si>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</si>
  <si>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</si>
  <si>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</si>
  <si>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</si>
  <si>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</si>
  <si>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</si>
  <si>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</si>
  <si>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</si>
  <si>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</si>
  <si>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</si>
  <si>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</si>
  <si>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</si>
  <si>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</si>
  <si>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</si>
  <si>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</si>
  <si>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</si>
  <si>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</si>
  <si>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</si>
  <si>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</si>
  <si>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</si>
  <si>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</si>
  <si>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</si>
  <si>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</si>
  <si>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</si>
  <si>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</si>
  <si>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</si>
  <si>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</si>
  <si>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</si>
  <si>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</si>
  <si>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</si>
  <si>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</si>
  <si>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</si>
  <si>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</si>
  <si>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</si>
  <si>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</si>
  <si>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</si>
  <si>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</si>
  <si>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</si>
  <si>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</si>
  <si>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</si>
  <si>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</si>
  <si>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</si>
  <si>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</si>
  <si>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</si>
  <si>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</si>
  <si>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</si>
  <si>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</si>
  <si>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</si>
  <si>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</si>
  <si>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</si>
  <si>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</si>
  <si>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</si>
  <si>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</si>
  <si>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</si>
  <si>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</si>
  <si>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</si>
  <si>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</si>
  <si>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</si>
  <si>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</si>
  <si>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</si>
  <si>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</si>
  <si>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</si>
  <si>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</si>
  <si>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</si>
  <si>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</si>
  <si>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</si>
  <si>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</si>
  <si>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</si>
  <si>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</si>
  <si>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</si>
  <si>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</si>
  <si>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</si>
  <si>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</si>
  <si>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</si>
  <si>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</si>
  <si>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</si>
  <si>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</si>
  <si>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</si>
  <si>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</si>
  <si>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</si>
  <si>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</si>
  <si>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</si>
  <si>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</si>
  <si>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</si>
  <si>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</si>
  <si>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</si>
  <si>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</si>
  <si>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</si>
  <si>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</si>
  <si>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</si>
  <si>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</si>
  <si>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</si>
  <si>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</si>
  <si>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</si>
  <si>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</si>
  <si>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</si>
  <si>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</si>
  <si>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</si>
  <si>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</si>
  <si>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</si>
  <si>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</si>
  <si>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</si>
  <si>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</si>
  <si>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</si>
  <si>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</si>
  <si>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</si>
  <si>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</si>
  <si>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</si>
  <si>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</si>
  <si>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</si>
  <si>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</si>
  <si>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</si>
  <si>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</si>
  <si>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</si>
  <si>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</si>
  <si>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</si>
  <si>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</si>
  <si>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</si>
  <si>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</si>
  <si>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</si>
  <si>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</si>
  <si>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</si>
  <si>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</si>
  <si>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</si>
  <si>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</si>
  <si>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</si>
  <si>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</si>
  <si>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</si>
  <si>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</si>
  <si>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</si>
  <si>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</si>
  <si>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</si>
  <si>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</si>
  <si>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</si>
  <si>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</si>
  <si>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</si>
  <si>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</si>
  <si>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</si>
  <si>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</si>
  <si>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</si>
  <si>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</si>
  <si>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</si>
  <si>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</si>
  <si>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</si>
  <si>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</si>
  <si>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</si>
  <si>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</si>
  <si>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</si>
  <si>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</si>
  <si>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</si>
  <si>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</si>
  <si>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</si>
  <si>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</si>
  <si>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</si>
  <si>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</si>
  <si>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</si>
  <si>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</si>
  <si>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</si>
  <si>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</si>
  <si>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</si>
  <si>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</si>
  <si>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</si>
  <si>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</si>
  <si>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</si>
  <si>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</si>
  <si>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</si>
  <si>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</si>
  <si>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</si>
  <si>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</si>
  <si>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</si>
  <si>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</si>
  <si>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</si>
  <si>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</si>
  <si>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</si>
  <si>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</si>
  <si>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</si>
  <si>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</si>
  <si>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</si>
  <si>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</si>
  <si>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</si>
  <si>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</si>
  <si>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</si>
  <si>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</si>
  <si>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</si>
  <si>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</si>
  <si>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</si>
  <si>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</si>
  <si>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</si>
  <si>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</si>
  <si>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</si>
  <si>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</si>
  <si>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</si>
  <si>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</si>
  <si>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</si>
  <si>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</si>
  <si>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</si>
  <si>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</si>
  <si>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</si>
  <si>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</si>
  <si>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</si>
  <si>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</si>
  <si>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</si>
  <si>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</si>
  <si>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</si>
  <si>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</si>
  <si>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</si>
  <si>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</si>
  <si>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</si>
  <si>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</si>
  <si>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</si>
  <si>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</si>
  <si>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</si>
  <si>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</si>
  <si>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</si>
  <si>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</si>
  <si>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</si>
  <si>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</si>
  <si>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</si>
  <si>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</si>
  <si>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</si>
  <si>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</si>
  <si>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</si>
  <si>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</si>
  <si>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</si>
  <si>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</si>
  <si>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</si>
  <si>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</si>
  <si>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</si>
  <si>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</si>
  <si>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</si>
  <si>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</si>
  <si>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</si>
  <si>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</si>
  <si>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</si>
  <si>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</si>
  <si>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</si>
  <si>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</si>
  <si>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</si>
  <si>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</si>
  <si>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</si>
  <si>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</si>
  <si>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</si>
  <si>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</si>
  <si>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</si>
  <si>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</si>
  <si>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</si>
  <si>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</si>
  <si>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</si>
  <si>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</si>
  <si>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</si>
  <si>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</si>
  <si>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</si>
  <si>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</si>
  <si>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</si>
  <si>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</si>
  <si>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</si>
  <si>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</si>
  <si>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</si>
  <si>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</si>
  <si>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</si>
  <si>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</si>
  <si>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</si>
  <si>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</si>
  <si>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</si>
  <si>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</si>
  <si>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</si>
  <si>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</si>
  <si>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</si>
  <si>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</si>
  <si>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</si>
  <si>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</si>
  <si>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</si>
  <si>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</si>
  <si>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</si>
  <si>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</si>
  <si>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</si>
  <si>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</si>
  <si>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</si>
  <si>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</si>
  <si>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</si>
  <si>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</si>
  <si>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</si>
  <si>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</si>
  <si>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</si>
  <si>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</si>
  <si>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</si>
  <si>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</si>
  <si>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</si>
  <si>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</si>
  <si>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</si>
  <si>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</si>
  <si>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</si>
  <si>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</si>
  <si>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</si>
  <si>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</si>
  <si>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</si>
  <si>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</si>
  <si>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</si>
  <si>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</si>
  <si>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</si>
  <si>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</si>
  <si>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</si>
  <si>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</si>
  <si>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</si>
  <si>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</si>
  <si>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</si>
  <si>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</si>
  <si>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</si>
  <si>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</si>
  <si>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</si>
  <si>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</si>
  <si>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</si>
  <si>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</si>
  <si>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</si>
  <si>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</si>
  <si>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</si>
  <si>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</si>
  <si>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</si>
  <si>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</si>
  <si>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</si>
  <si>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</si>
  <si>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</si>
  <si>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</si>
  <si>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</si>
  <si>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</si>
  <si>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</si>
  <si>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</si>
  <si>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</si>
  <si>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</si>
  <si>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</si>
  <si>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</si>
  <si>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</si>
  <si>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</si>
  <si>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</si>
  <si>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</si>
  <si>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</si>
  <si>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</si>
  <si>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</si>
  <si>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</si>
  <si>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</si>
  <si>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</si>
  <si>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</si>
  <si>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</si>
  <si>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</si>
  <si>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</si>
  <si>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</si>
  <si>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</si>
  <si>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</si>
  <si>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</si>
  <si>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</si>
  <si>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</si>
  <si>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</si>
  <si>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</si>
  <si>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</si>
  <si>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</si>
  <si>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</si>
  <si>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</si>
  <si>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</si>
  <si>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</si>
  <si>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</si>
  <si>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</si>
  <si>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</si>
  <si>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</si>
  <si>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</si>
  <si>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</si>
  <si>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</si>
  <si>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</si>
  <si>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</si>
  <si>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</si>
  <si>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</si>
  <si>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</si>
  <si>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</si>
  <si>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</si>
  <si>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</si>
  <si>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</si>
  <si>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</si>
  <si>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</si>
  <si>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</si>
  <si>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</si>
  <si>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</si>
  <si>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</si>
  <si>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</si>
  <si>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</si>
  <si>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</si>
  <si>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</si>
  <si>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</si>
  <si>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</si>
  <si>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</si>
  <si>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</si>
  <si>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</si>
  <si>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</si>
  <si>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</si>
  <si>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</si>
  <si>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</si>
  <si>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</si>
  <si>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</si>
  <si>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</si>
  <si>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</si>
  <si>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</si>
  <si>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</si>
  <si>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</si>
  <si>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</si>
  <si>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</si>
  <si>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</si>
  <si>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</si>
  <si>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</si>
  <si>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</si>
  <si>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</si>
  <si>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</si>
  <si>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</si>
  <si>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</si>
  <si>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</si>
  <si>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</si>
  <si>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</si>
  <si>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</si>
  <si>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</si>
  <si>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</si>
  <si>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</si>
  <si>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</si>
  <si>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</si>
  <si>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</si>
  <si>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</si>
  <si>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</si>
  <si>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</si>
  <si>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</si>
  <si>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</si>
  <si>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</si>
  <si>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</si>
  <si>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</si>
  <si>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</si>
  <si>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</si>
  <si>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</si>
  <si>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</si>
  <si>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</si>
  <si>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</si>
  <si>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</si>
  <si>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</si>
  <si>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</si>
  <si>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</si>
  <si>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</si>
  <si>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</si>
  <si>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</si>
  <si>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</si>
  <si>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</si>
  <si>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</si>
  <si>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</si>
  <si>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</si>
  <si>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</si>
  <si>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</si>
  <si>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</si>
  <si>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</si>
  <si>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</si>
  <si>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</si>
  <si>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</si>
  <si>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</si>
  <si>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</si>
  <si>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</si>
  <si>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</si>
  <si>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</si>
  <si>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</si>
  <si>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</si>
  <si>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</si>
  <si>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</si>
  <si>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</si>
  <si>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</si>
  <si>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</si>
  <si>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</si>
  <si>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</si>
  <si>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</si>
  <si>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</si>
  <si>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</si>
  <si>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</si>
  <si>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</si>
  <si>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</si>
  <si>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</si>
  <si>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</si>
  <si>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</si>
  <si>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</si>
  <si>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</si>
  <si>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</si>
  <si>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</si>
  <si>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</si>
  <si>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</si>
  <si>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</si>
  <si>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</si>
  <si>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</si>
  <si>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</si>
  <si>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</si>
  <si>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</si>
  <si>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</si>
  <si>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</si>
  <si>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</si>
  <si>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</si>
  <si>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</si>
  <si>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</si>
  <si>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</si>
  <si>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</si>
  <si>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</si>
  <si>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</si>
  <si>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</si>
  <si>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</si>
  <si>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</si>
  <si>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</si>
  <si>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</si>
  <si>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</si>
  <si>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</si>
  <si>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</si>
  <si>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</si>
  <si>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</si>
  <si>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</si>
  <si>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</si>
  <si>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</si>
  <si>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</si>
  <si>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</si>
  <si>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</si>
  <si>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</si>
  <si>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</si>
  <si>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</si>
  <si>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</si>
  <si>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</si>
  <si>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</si>
  <si>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</si>
  <si>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</si>
  <si>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</si>
  <si>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</si>
  <si>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</si>
  <si>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</si>
  <si>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</si>
  <si>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</si>
  <si>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</si>
  <si>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</si>
  <si>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</si>
  <si>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</si>
  <si>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</si>
  <si>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</si>
  <si>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</si>
  <si>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</si>
  <si>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</si>
  <si>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</si>
  <si>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</si>
  <si>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</si>
  <si>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</si>
  <si>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</si>
  <si>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</si>
  <si>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</si>
  <si>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</si>
  <si>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</si>
  <si>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</si>
  <si>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</si>
  <si>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</si>
  <si>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</si>
  <si>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</si>
  <si>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</si>
  <si>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</si>
  <si>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</si>
  <si>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</si>
  <si>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</si>
  <si>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</si>
  <si>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</si>
  <si>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</si>
  <si>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</si>
  <si>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</si>
  <si>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</si>
  <si>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</si>
  <si>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</si>
  <si>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</si>
  <si>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</si>
  <si>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</si>
  <si>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</si>
  <si>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</si>
  <si>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</si>
  <si>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</si>
  <si>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</si>
  <si>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</si>
  <si>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</si>
  <si>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</si>
  <si>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</si>
  <si>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</si>
  <si>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</si>
  <si>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</si>
  <si>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</si>
  <si>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</si>
  <si>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</si>
  <si>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</si>
  <si>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</si>
  <si>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</si>
  <si>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</si>
  <si>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</si>
  <si>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</si>
  <si>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</si>
  <si>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</si>
  <si>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</si>
  <si>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</si>
  <si>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</si>
  <si>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</si>
  <si>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</si>
  <si>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</si>
  <si>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</si>
  <si>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</si>
  <si>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</si>
  <si>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</si>
  <si>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</si>
  <si>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</si>
  <si>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</si>
  <si>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</si>
  <si>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</si>
  <si>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</si>
  <si>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</si>
  <si>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</si>
  <si>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</si>
  <si>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</si>
  <si>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</si>
  <si>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</si>
  <si>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</si>
  <si>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</si>
  <si>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</si>
  <si>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</si>
  <si>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</si>
  <si>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</si>
  <si>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</si>
  <si>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</si>
  <si>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</si>
  <si>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</si>
  <si>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</si>
  <si>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</si>
  <si>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</si>
  <si>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</si>
  <si>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</si>
  <si>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</si>
  <si>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</si>
  <si>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</si>
  <si>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</si>
  <si>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</si>
  <si>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</si>
  <si>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</si>
  <si>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</si>
  <si>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</si>
  <si>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</si>
  <si>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</si>
  <si>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</si>
  <si>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</si>
  <si>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</si>
  <si>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</si>
  <si>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</si>
  <si>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</si>
  <si>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</si>
  <si>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</si>
  <si>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</si>
  <si>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</si>
  <si>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</si>
  <si>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</si>
  <si>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</si>
  <si>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</si>
  <si>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</si>
  <si>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</si>
  <si>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</si>
  <si>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</si>
  <si>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</si>
  <si>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</si>
  <si>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</si>
  <si>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</si>
  <si>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</si>
  <si>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</si>
  <si>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</si>
  <si>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</si>
  <si>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</si>
  <si>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</si>
  <si>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</si>
  <si>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</si>
  <si>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</si>
  <si>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</si>
  <si>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</si>
  <si>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</si>
  <si>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</si>
  <si>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</si>
  <si>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</si>
  <si>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</si>
  <si>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</si>
  <si>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</si>
  <si>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</si>
  <si>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</si>
  <si>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</si>
  <si>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</si>
  <si>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</si>
  <si>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</si>
  <si>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</si>
  <si>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</si>
  <si>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</si>
  <si>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</si>
  <si>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</si>
  <si>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</si>
  <si>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</si>
  <si>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</si>
  <si>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</si>
  <si>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</si>
  <si>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</si>
  <si>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</si>
  <si>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</si>
  <si>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</si>
  <si>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</si>
  <si>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</si>
  <si>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</si>
  <si>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</si>
  <si>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</si>
  <si>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</si>
  <si>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</si>
  <si>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</si>
  <si>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</si>
  <si>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</si>
  <si>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</si>
  <si>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</si>
  <si>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</si>
  <si>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</si>
  <si>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</si>
  <si>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</si>
  <si>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</si>
  <si>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</si>
  <si>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</si>
  <si>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</si>
  <si>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</si>
  <si>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</si>
  <si>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</si>
  <si>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</si>
  <si>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</si>
  <si>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</si>
  <si>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</si>
  <si>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</si>
  <si>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</si>
  <si>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</si>
  <si>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</si>
  <si>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</si>
  <si>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</si>
  <si>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</si>
  <si>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</si>
  <si>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</si>
  <si>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</si>
  <si>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</si>
  <si>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</si>
  <si>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</si>
  <si>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</si>
  <si>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</si>
  <si>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</si>
  <si>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</si>
  <si>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</si>
  <si>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</si>
  <si>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</si>
  <si>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</si>
  <si>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</si>
  <si>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</si>
  <si>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</si>
  <si>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</si>
  <si>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</si>
  <si>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</si>
  <si>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</si>
  <si>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</si>
  <si>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</si>
  <si>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</si>
  <si>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</si>
  <si>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</si>
  <si>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</si>
  <si>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</si>
  <si>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</si>
  <si>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</si>
  <si>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</si>
  <si>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</si>
  <si>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</si>
  <si>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</si>
  <si>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</si>
  <si>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</si>
  <si>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</si>
  <si>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</si>
  <si>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</si>
  <si>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</si>
  <si>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</si>
  <si>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</si>
  <si>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</si>
  <si>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</si>
  <si>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</si>
  <si>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</si>
  <si>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</si>
  <si>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</si>
  <si>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</si>
  <si>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</si>
  <si>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</si>
  <si>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</si>
  <si>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</si>
  <si>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</si>
  <si>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</si>
  <si>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</si>
  <si>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</si>
  <si>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</si>
  <si>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</si>
  <si>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</si>
  <si>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</si>
  <si>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</si>
  <si>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</si>
  <si>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</si>
  <si>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</si>
  <si>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</si>
  <si>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</si>
  <si>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</si>
  <si>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</si>
  <si>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</si>
  <si>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</si>
  <si>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</si>
  <si>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</si>
  <si>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</si>
  <si>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</si>
  <si>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</si>
  <si>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</si>
  <si>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</si>
  <si>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</si>
  <si>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</si>
  <si>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</si>
  <si>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</si>
  <si>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</si>
  <si>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</si>
  <si>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</si>
  <si>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</si>
  <si>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</si>
  <si>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</si>
  <si>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</si>
  <si>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</si>
  <si>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</si>
  <si>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</si>
  <si>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</si>
  <si>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</si>
  <si>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</si>
  <si>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</si>
  <si>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</si>
  <si>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</si>
  <si>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</si>
  <si>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</si>
  <si>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</si>
  <si>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</si>
  <si>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</si>
  <si>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</si>
  <si>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</si>
  <si>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</si>
  <si>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</si>
  <si>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</si>
  <si>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</si>
  <si>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</si>
  <si>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</si>
  <si>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</si>
  <si>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</si>
  <si>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</si>
  <si>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</si>
  <si>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</si>
  <si>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</si>
  <si>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</si>
  <si>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</si>
  <si>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</si>
  <si>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</si>
  <si>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</si>
  <si>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</si>
  <si>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</si>
  <si>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</si>
  <si>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</si>
  <si>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</si>
  <si>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</si>
  <si>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</si>
  <si>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</si>
  <si>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</si>
  <si>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</si>
  <si>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</si>
  <si>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</si>
  <si>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</si>
  <si>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</si>
  <si>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</si>
  <si>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</si>
  <si>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</si>
  <si>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</si>
  <si>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</si>
  <si>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</si>
  <si>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</si>
  <si>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</si>
  <si>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</si>
  <si>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</si>
  <si>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</si>
  <si>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</si>
  <si>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</si>
  <si>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</si>
  <si>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</si>
  <si>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</si>
  <si>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</si>
  <si>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</si>
  <si>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</si>
  <si>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</si>
  <si>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</si>
  <si>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</si>
  <si>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</si>
  <si>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</si>
  <si>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</si>
  <si>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</si>
  <si>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</si>
  <si>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</si>
  <si>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</si>
  <si>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</si>
  <si>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</si>
  <si>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</si>
  <si>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</si>
  <si>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</si>
  <si>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</si>
  <si>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</si>
  <si>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</si>
  <si>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</si>
  <si>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</si>
  <si>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</si>
  <si>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</si>
  <si>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</si>
  <si>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</si>
  <si>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</si>
  <si>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</si>
  <si>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</si>
  <si>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</si>
  <si>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</si>
  <si>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</si>
  <si>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</si>
  <si>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</si>
  <si>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</si>
  <si>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</si>
  <si>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</si>
  <si>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</si>
  <si>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</si>
  <si>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</si>
  <si>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</si>
  <si>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</si>
  <si>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</si>
  <si>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</si>
  <si>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</si>
  <si>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</si>
  <si>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</si>
  <si>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</si>
  <si>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</si>
  <si>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</si>
  <si>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</si>
  <si>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</si>
  <si>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</si>
  <si>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</si>
  <si>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</si>
  <si>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</si>
  <si>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</si>
  <si>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</si>
  <si>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</si>
  <si>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</si>
  <si>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</si>
  <si>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</si>
  <si>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</si>
  <si>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</si>
  <si>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</si>
  <si>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</si>
  <si>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</si>
  <si>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</si>
  <si>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</si>
  <si>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</si>
  <si>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</si>
  <si>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</si>
  <si>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</si>
  <si>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</si>
  <si>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</si>
  <si>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</si>
  <si>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</si>
  <si>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</si>
  <si>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</si>
  <si>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</si>
  <si>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</si>
  <si>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</si>
  <si>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</si>
  <si>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</si>
  <si>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</si>
  <si>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</si>
  <si>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</si>
  <si>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</si>
  <si>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</si>
  <si>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</si>
  <si>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</si>
  <si>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</si>
  <si>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</si>
  <si>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</si>
  <si>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</si>
  <si>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</si>
  <si>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</si>
  <si>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</si>
  <si>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</si>
  <si>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</si>
  <si>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</si>
  <si>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</si>
  <si>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</si>
  <si>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</si>
  <si>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</si>
  <si>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</si>
  <si>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</si>
  <si>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</si>
  <si>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</si>
  <si>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</si>
  <si>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</si>
  <si>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</si>
  <si>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</si>
  <si>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</si>
  <si>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</si>
  <si>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</si>
  <si>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</si>
  <si>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</si>
  <si>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</si>
  <si>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</si>
  <si>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</si>
  <si>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</si>
  <si>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</si>
  <si>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</si>
  <si>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</si>
  <si>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</si>
  <si>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</si>
  <si>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</si>
  <si>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</si>
  <si>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</si>
  <si>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</si>
  <si>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</si>
  <si>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</si>
  <si>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</si>
  <si>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</si>
  <si>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</si>
  <si>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</si>
  <si>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</si>
  <si>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</si>
  <si>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</si>
  <si>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</si>
  <si>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</si>
  <si>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</si>
  <si>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</si>
  <si>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</si>
  <si>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</si>
  <si>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</si>
  <si>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</si>
  <si>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</si>
  <si>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</si>
  <si>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</si>
  <si>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</si>
  <si>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</si>
  <si>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</si>
  <si>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</si>
  <si>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</si>
  <si>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</si>
  <si>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</si>
  <si>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</si>
  <si>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</si>
  <si>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</si>
  <si>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</si>
  <si>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</si>
  <si>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</si>
  <si>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</si>
  <si>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</si>
  <si>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</si>
  <si>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</si>
  <si>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</si>
  <si>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</si>
  <si>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</si>
  <si>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</si>
  <si>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</si>
  <si>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</si>
  <si>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</si>
  <si>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</si>
  <si>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</si>
  <si>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</si>
  <si>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</si>
  <si>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</si>
  <si>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</si>
  <si>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</si>
  <si>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</si>
  <si>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</si>
  <si>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</si>
  <si>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</si>
  <si>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</si>
  <si>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</si>
  <si>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</si>
  <si>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</si>
  <si>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</si>
  <si>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</si>
  <si>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</si>
  <si>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</si>
  <si>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</si>
  <si>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</si>
  <si>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</si>
  <si>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</si>
  <si>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</si>
  <si>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</si>
  <si>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</si>
  <si>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</si>
  <si>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</si>
  <si>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</si>
  <si>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</si>
  <si>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</si>
  <si>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</si>
  <si>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</si>
  <si>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</si>
  <si>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</si>
  <si>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</si>
  <si>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</si>
  <si>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</si>
  <si>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</si>
  <si>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</si>
  <si>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</si>
  <si>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</si>
  <si>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</si>
  <si>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</si>
  <si>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</si>
  <si>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</si>
  <si>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</si>
  <si>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</si>
  <si>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</si>
  <si>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</si>
  <si>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</si>
  <si>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</si>
  <si>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</si>
  <si>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</si>
  <si>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</si>
  <si>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</si>
  <si>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</si>
  <si>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</si>
  <si>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</si>
  <si>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</si>
  <si>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</si>
  <si>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</si>
  <si>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</si>
  <si>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</si>
  <si>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</si>
  <si>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</si>
  <si>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</si>
  <si>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</si>
  <si>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</si>
  <si>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</si>
  <si>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</si>
  <si>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</si>
  <si>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</si>
  <si>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</si>
  <si>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</si>
  <si>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</si>
  <si>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</si>
  <si>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</si>
  <si>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</si>
  <si>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</si>
  <si>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</si>
  <si>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</si>
  <si>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</si>
  <si>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</si>
  <si>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</si>
  <si>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</si>
  <si>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</si>
  <si>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</si>
  <si>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</si>
  <si>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</si>
  <si>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</si>
  <si>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</si>
  <si>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</si>
  <si>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</si>
  <si>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</si>
  <si>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</si>
  <si>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</si>
  <si>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</si>
  <si>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</si>
  <si>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</si>
  <si>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</si>
  <si>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</si>
  <si>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</si>
  <si>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</si>
  <si>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</si>
  <si>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</si>
  <si>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</si>
  <si>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</si>
  <si>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</si>
  <si>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</si>
  <si>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</si>
  <si>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</si>
  <si>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</si>
  <si>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</si>
  <si>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</si>
  <si>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</si>
  <si>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</si>
  <si>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</si>
  <si>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</si>
  <si>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</si>
  <si>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</si>
  <si>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</si>
  <si>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</si>
  <si>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</si>
  <si>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</si>
  <si>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</si>
  <si>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</si>
  <si>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</si>
  <si>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</si>
  <si>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</si>
  <si>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</si>
  <si>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</si>
  <si>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</si>
  <si>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</si>
  <si>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</si>
  <si>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</si>
  <si>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</si>
  <si>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</si>
  <si>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</si>
  <si>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</si>
  <si>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</si>
  <si>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</si>
  <si>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</si>
  <si>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</si>
  <si>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</si>
  <si>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</si>
  <si>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</si>
  <si>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</si>
  <si>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</si>
  <si>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</si>
  <si>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</si>
  <si>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</si>
  <si>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</si>
  <si>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</si>
  <si>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</si>
  <si>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</si>
  <si>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</si>
  <si>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</si>
  <si>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</si>
  <si>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</si>
  <si>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</si>
  <si>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</si>
  <si>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</si>
  <si>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</si>
  <si>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</si>
  <si>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</si>
  <si>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</si>
  <si>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</si>
  <si>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</si>
  <si>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</si>
  <si>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</si>
  <si>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</si>
  <si>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</si>
  <si>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</si>
  <si>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</si>
  <si>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</si>
  <si>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</si>
  <si>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</si>
  <si>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</si>
  <si>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</si>
  <si>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</si>
  <si>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</si>
  <si>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</si>
  <si>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</si>
  <si>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</si>
  <si>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</si>
  <si>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</si>
  <si>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</si>
  <si>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</si>
  <si>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</si>
  <si>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</si>
  <si>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</si>
  <si>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</si>
  <si>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</si>
  <si>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</si>
  <si>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</si>
  <si>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</si>
  <si>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</si>
  <si>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</si>
  <si>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</si>
  <si>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</si>
  <si>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</si>
  <si>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</si>
  <si>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</si>
  <si>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</si>
  <si>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</si>
  <si>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</si>
  <si>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</si>
  <si>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</si>
  <si>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</si>
  <si>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</si>
  <si>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</si>
  <si>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</si>
  <si>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</si>
  <si>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</si>
  <si>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</si>
  <si>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</si>
  <si>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</si>
  <si>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</si>
  <si>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</si>
  <si>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</si>
  <si>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</si>
  <si>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</si>
  <si>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</si>
  <si>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</si>
  <si>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</si>
  <si>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</si>
  <si>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</si>
  <si>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</si>
  <si>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</si>
  <si>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</si>
  <si>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</si>
  <si>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</si>
  <si>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</si>
  <si>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</si>
  <si>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</si>
  <si>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</si>
  <si>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</si>
  <si>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</si>
  <si>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</si>
  <si>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</si>
  <si>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</si>
  <si>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</si>
  <si>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</si>
  <si>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</si>
  <si>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</si>
  <si>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</si>
  <si>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</si>
  <si>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</si>
  <si>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</si>
  <si>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</si>
  <si>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</si>
  <si>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</si>
  <si>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</si>
  <si>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</si>
  <si>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</si>
  <si>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</si>
  <si>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</si>
  <si>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</si>
  <si>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</si>
  <si>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</si>
  <si>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</si>
  <si>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</si>
  <si>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</si>
  <si>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</si>
  <si>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</si>
  <si>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</si>
  <si>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</si>
  <si>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</si>
  <si>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</si>
  <si>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</si>
  <si>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</si>
  <si>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</si>
  <si>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</si>
  <si>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</si>
  <si>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</si>
  <si>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</si>
  <si>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</si>
  <si>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</si>
  <si>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</si>
  <si>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</si>
  <si>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</si>
  <si>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</si>
  <si>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</si>
  <si>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</si>
  <si>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</si>
  <si>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</si>
  <si>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</si>
  <si>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</si>
  <si>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</si>
  <si>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</si>
  <si>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</si>
  <si>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</si>
  <si>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</si>
  <si>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</si>
  <si>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</si>
  <si>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</si>
  <si>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</si>
  <si>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</si>
  <si>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</si>
  <si>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</si>
  <si>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</si>
  <si>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</si>
  <si>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</si>
  <si>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</si>
  <si>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</si>
  <si>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</si>
  <si>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</si>
  <si>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</si>
  <si>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</si>
  <si>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</si>
  <si>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</si>
  <si>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</si>
  <si>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</si>
  <si>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</si>
  <si>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</si>
  <si>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</si>
  <si>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</si>
  <si>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</si>
  <si>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</si>
  <si>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</si>
  <si>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</si>
  <si>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</si>
  <si>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</si>
  <si>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</si>
  <si>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</si>
  <si>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</si>
  <si>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</si>
  <si>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</si>
  <si>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</si>
  <si>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</si>
  <si>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</si>
  <si>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</si>
  <si>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</si>
  <si>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</si>
  <si>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</si>
  <si>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</si>
  <si>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</si>
  <si>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</si>
  <si>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</si>
  <si>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</si>
  <si>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</si>
  <si>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</si>
  <si>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</si>
  <si>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</si>
  <si>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</si>
  <si>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</si>
  <si>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</si>
  <si>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</si>
  <si>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</si>
  <si>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</si>
  <si>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</si>
  <si>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</si>
  <si>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</si>
  <si>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</si>
  <si>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</si>
  <si>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</si>
  <si>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</si>
  <si>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</si>
  <si>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</si>
  <si>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</si>
  <si>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</si>
  <si>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</si>
  <si>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</si>
  <si>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</si>
  <si>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</si>
  <si>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</si>
  <si>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</si>
  <si>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</si>
  <si>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</si>
  <si>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</si>
  <si>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</si>
  <si>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</si>
  <si>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</si>
  <si>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</si>
  <si>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</si>
  <si>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</si>
  <si>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</si>
  <si>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</si>
  <si>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</si>
  <si>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</si>
  <si>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</si>
  <si>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</si>
  <si>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</si>
  <si>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</si>
  <si>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</si>
  <si>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</si>
  <si>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</si>
  <si>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</si>
  <si>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</si>
  <si>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</si>
  <si>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</si>
  <si>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</si>
  <si>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</si>
  <si>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</si>
  <si>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</si>
  <si>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</si>
  <si>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</si>
  <si>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</si>
  <si>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</si>
  <si>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</si>
  <si>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</si>
  <si>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</si>
  <si>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</si>
  <si>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</si>
  <si>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</si>
  <si>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</si>
  <si>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</si>
  <si>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</si>
  <si>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</si>
  <si>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</si>
  <si>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</si>
  <si>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</si>
  <si>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</si>
  <si>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</si>
  <si>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</si>
  <si>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</si>
  <si>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</si>
  <si>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</si>
  <si>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</si>
  <si>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</si>
  <si>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</si>
  <si>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</si>
  <si>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</si>
  <si>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</si>
  <si>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</si>
  <si>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</si>
  <si>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</si>
  <si>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</si>
  <si>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</si>
  <si>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</si>
  <si>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</si>
  <si>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</si>
  <si>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</si>
  <si>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</si>
  <si>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</si>
  <si>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</si>
  <si>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</si>
  <si>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</si>
  <si>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</si>
  <si>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</si>
  <si>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</si>
  <si>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</si>
  <si>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</si>
  <si>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</si>
  <si>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</si>
  <si>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</si>
  <si>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</si>
  <si>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</si>
  <si>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</si>
  <si>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</si>
  <si>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</si>
  <si>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</si>
  <si>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</si>
  <si>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</si>
  <si>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</si>
  <si>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</si>
  <si>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</si>
  <si>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</si>
  <si>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</si>
  <si>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</si>
  <si>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</si>
  <si>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</si>
  <si>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</si>
  <si>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</si>
  <si>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</si>
  <si>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</si>
  <si>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</si>
  <si>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</si>
  <si>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</si>
  <si>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</si>
  <si>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</si>
  <si>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</si>
  <si>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</si>
  <si>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</si>
  <si>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</si>
  <si>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</si>
  <si>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</si>
  <si>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</si>
  <si>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</si>
  <si>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</si>
  <si>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</si>
  <si>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</si>
  <si>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</si>
  <si>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</si>
  <si>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</si>
  <si>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</si>
  <si>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</si>
  <si>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</si>
  <si>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</si>
  <si>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</si>
  <si>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</si>
  <si>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</si>
  <si>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</si>
  <si>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</si>
  <si>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</si>
  <si>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</si>
  <si>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</si>
  <si>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</si>
  <si>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</si>
  <si>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</si>
  <si>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</si>
  <si>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</si>
  <si>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</si>
  <si>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</si>
  <si>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</si>
  <si>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</si>
  <si>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</si>
  <si>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</si>
  <si>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</si>
  <si>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</si>
  <si>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</si>
  <si>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</si>
  <si>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</si>
  <si>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</si>
  <si>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</si>
  <si>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</si>
  <si>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</si>
  <si>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</si>
  <si>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</si>
  <si>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</si>
  <si>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</si>
  <si>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</si>
  <si>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</si>
  <si>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</si>
  <si>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</si>
  <si>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</si>
  <si>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</si>
  <si>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</si>
  <si>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</si>
  <si>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</si>
  <si>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</si>
  <si>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</si>
  <si>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</si>
  <si>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</si>
  <si>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</si>
  <si>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</si>
  <si>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</si>
  <si>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</si>
  <si>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</si>
  <si>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</si>
  <si>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</si>
  <si>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</si>
  <si>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</si>
  <si>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</si>
  <si>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</si>
  <si>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</si>
  <si>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</si>
  <si>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</si>
  <si>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</si>
  <si>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</si>
  <si>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</si>
  <si>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</si>
  <si>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</si>
  <si>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</si>
  <si>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</si>
  <si>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</si>
  <si>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</si>
  <si>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</si>
  <si>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</si>
  <si>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</si>
  <si>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</si>
  <si>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</si>
  <si>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</si>
  <si>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</si>
  <si>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</si>
  <si>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</si>
  <si>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</si>
  <si>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</si>
  <si>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</si>
  <si>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</si>
  <si>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</si>
  <si>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</si>
  <si>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</si>
  <si>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</si>
  <si>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</si>
  <si>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</si>
  <si>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</si>
  <si>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</si>
  <si>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</si>
  <si>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</si>
  <si>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</si>
  <si>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</si>
  <si>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</si>
  <si>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</si>
  <si>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</si>
  <si>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</si>
  <si>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</si>
  <si>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</si>
  <si>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</si>
  <si>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</si>
  <si>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</si>
  <si>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</si>
  <si>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</si>
  <si>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</si>
  <si>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</si>
  <si>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</si>
  <si>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</si>
  <si>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</si>
  <si>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</si>
  <si>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</si>
  <si>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</si>
  <si>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</si>
  <si>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</si>
  <si>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</si>
  <si>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</si>
  <si>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</si>
  <si>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</si>
  <si>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</si>
  <si>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</si>
  <si>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</si>
  <si>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</si>
  <si>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</si>
  <si>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</si>
  <si>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</si>
  <si>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</si>
  <si>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</si>
  <si>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</si>
  <si>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</si>
  <si>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</si>
  <si>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</si>
  <si>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</si>
  <si>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</si>
  <si>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</si>
  <si>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</si>
  <si>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</si>
  <si>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</si>
  <si>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</si>
  <si>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</si>
  <si>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</si>
  <si>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</si>
  <si>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</si>
  <si>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</si>
  <si>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</si>
  <si>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</si>
  <si>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</si>
  <si>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</si>
  <si>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</si>
  <si>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</si>
  <si>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</si>
  <si>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</si>
  <si>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</si>
  <si>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</si>
  <si>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</si>
  <si>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</si>
  <si>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</si>
  <si>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</si>
  <si>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</si>
  <si>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</si>
  <si>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</si>
  <si>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</si>
  <si>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</si>
  <si>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</si>
  <si>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</si>
  <si>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</si>
  <si>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</si>
  <si>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</si>
  <si>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</si>
  <si>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</si>
  <si>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</si>
  <si>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</si>
  <si>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</si>
  <si>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</si>
  <si>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</si>
  <si>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</si>
  <si>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</si>
  <si>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</si>
  <si>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</si>
  <si>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</si>
  <si>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</si>
  <si>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</si>
  <si>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</si>
  <si>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</si>
  <si>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</si>
  <si>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</si>
  <si>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</si>
  <si>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</si>
  <si>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</si>
  <si>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</si>
  <si>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</si>
  <si>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</si>
  <si>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</si>
  <si>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</si>
  <si>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</si>
  <si>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</si>
  <si>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</si>
  <si>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</si>
  <si>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</si>
  <si>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</si>
  <si>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</si>
  <si>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</si>
  <si>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</si>
  <si>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</si>
  <si>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</si>
  <si>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</si>
  <si>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</si>
  <si>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</si>
  <si>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</si>
  <si>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</si>
  <si>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</si>
  <si>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</si>
  <si>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</si>
  <si>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</si>
  <si>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</si>
  <si>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</si>
  <si>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</si>
  <si>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</si>
  <si>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</si>
  <si>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</si>
  <si>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</si>
  <si>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</si>
  <si>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</si>
  <si>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</si>
  <si>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</si>
  <si>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</si>
  <si>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</si>
  <si>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</si>
  <si>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</si>
  <si>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</si>
  <si>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</si>
  <si>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</si>
  <si>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</si>
  <si>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</si>
  <si>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</si>
  <si>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</si>
  <si>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</si>
  <si>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</si>
  <si>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</si>
  <si>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</si>
  <si>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</si>
  <si>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</si>
  <si>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</si>
  <si>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</si>
  <si>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</si>
  <si>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</si>
  <si>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</si>
  <si>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</si>
  <si>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</si>
  <si>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</si>
  <si>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</si>
  <si>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</si>
  <si>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</si>
  <si>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</si>
  <si>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</si>
  <si>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</si>
  <si>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</si>
  <si>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</si>
  <si>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</si>
  <si>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</si>
  <si>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</si>
  <si>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</si>
  <si>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</si>
  <si>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</si>
  <si>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</si>
  <si>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</si>
  <si>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</si>
  <si>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</si>
  <si>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</si>
  <si>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</si>
  <si>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</si>
  <si>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</si>
  <si>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</si>
  <si>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</si>
  <si>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</si>
  <si>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</si>
  <si>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</si>
  <si>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</si>
  <si>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</si>
  <si>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</si>
  <si>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</si>
  <si>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</si>
  <si>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</si>
  <si>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</si>
  <si>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</si>
  <si>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</si>
  <si>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</si>
  <si>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</si>
  <si>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</si>
  <si>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</si>
  <si>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</si>
  <si>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</si>
  <si>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</si>
  <si>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</si>
  <si>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</si>
  <si>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</si>
  <si>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</si>
  <si>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</si>
  <si>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</si>
  <si>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</si>
  <si>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</si>
  <si>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</si>
  <si>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</si>
  <si>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</si>
  <si>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</si>
  <si>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</si>
  <si>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</si>
  <si>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</si>
  <si>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</si>
  <si>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</si>
  <si>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</si>
  <si>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</si>
  <si>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</si>
  <si>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</si>
  <si>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</si>
  <si>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</si>
  <si>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</si>
  <si>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</si>
  <si>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</si>
  <si>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</si>
  <si>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</si>
  <si>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</si>
  <si>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</si>
  <si>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</si>
  <si>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</si>
  <si>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</si>
  <si>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</si>
  <si>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</si>
  <si>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</si>
  <si>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</si>
  <si>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</si>
  <si>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</si>
  <si>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</si>
  <si>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</si>
  <si>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</si>
  <si>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</si>
  <si>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</si>
  <si>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</si>
  <si>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</si>
  <si>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</si>
  <si>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</si>
  <si>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</si>
  <si>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</si>
  <si>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</si>
  <si>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</si>
  <si>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</si>
  <si>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</si>
  <si>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</si>
  <si>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</si>
  <si>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</si>
  <si>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</si>
  <si>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</si>
  <si>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</si>
  <si>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</si>
  <si>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</si>
  <si>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</si>
  <si>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</si>
  <si>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</si>
  <si>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</si>
  <si>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</si>
  <si>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</si>
  <si>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</si>
  <si>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</si>
  <si>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</si>
  <si>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</si>
  <si>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</si>
  <si>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</si>
  <si>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</si>
  <si>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</si>
  <si>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</si>
  <si>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</si>
  <si>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</si>
  <si>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</si>
  <si>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</si>
  <si>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</si>
  <si>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</si>
  <si>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</si>
  <si>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</si>
  <si>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</si>
  <si>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</si>
  <si>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</si>
  <si>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</si>
  <si>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</si>
  <si>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</si>
  <si>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</si>
  <si>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</si>
  <si>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</si>
  <si>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</si>
  <si>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</si>
  <si>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</si>
  <si>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</si>
  <si>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</si>
  <si>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</si>
  <si>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</si>
  <si>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</si>
  <si>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</si>
  <si>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</si>
  <si>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</si>
  <si>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</si>
  <si>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</si>
  <si>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</si>
  <si>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</si>
  <si>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</si>
  <si>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</si>
  <si>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</si>
  <si>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</si>
  <si>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</si>
  <si>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</si>
  <si>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</si>
  <si>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</si>
  <si>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</si>
  <si>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</si>
  <si>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</si>
  <si>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</si>
  <si>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</si>
  <si>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</si>
  <si>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</si>
  <si>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</si>
  <si>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</si>
  <si>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</si>
  <si>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</si>
  <si>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</si>
  <si>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</si>
  <si>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</si>
  <si>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</si>
  <si>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</si>
  <si>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</si>
  <si>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</si>
  <si>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</si>
  <si>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</si>
  <si>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</si>
  <si>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</si>
  <si>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</si>
  <si>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</si>
  <si>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</si>
  <si>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</si>
  <si>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</si>
  <si>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</si>
  <si>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</si>
  <si>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</si>
  <si>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</si>
  <si>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</si>
  <si>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</si>
  <si>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</si>
  <si>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</si>
  <si>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</si>
  <si>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</si>
  <si>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</si>
  <si>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</si>
  <si>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</si>
  <si>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</si>
  <si>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</si>
  <si>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</si>
  <si>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</si>
  <si>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</si>
  <si>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</si>
  <si>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</si>
  <si>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</si>
  <si>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</si>
  <si>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</si>
  <si>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</si>
  <si>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</si>
  <si>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</si>
  <si>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</si>
  <si>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</si>
  <si>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</si>
  <si>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</si>
  <si>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</si>
  <si>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</si>
  <si>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</si>
  <si>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</si>
  <si>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</si>
  <si>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</si>
  <si>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</si>
  <si>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</si>
  <si>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</si>
  <si>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</si>
  <si>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</si>
  <si>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</si>
  <si>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</si>
  <si>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</si>
  <si>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</si>
  <si>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</si>
  <si>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</si>
  <si>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</si>
  <si>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</si>
  <si>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</si>
  <si>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</si>
  <si>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</si>
  <si>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</si>
  <si>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</si>
  <si>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</si>
  <si>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</si>
  <si>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</si>
  <si>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</si>
  <si>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</si>
  <si>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</si>
  <si>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</si>
  <si>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</si>
  <si>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</si>
  <si>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</si>
  <si>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</si>
  <si>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</si>
  <si>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</si>
  <si>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</si>
  <si>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</si>
  <si>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</si>
  <si>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</si>
  <si>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</si>
  <si>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</si>
  <si>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</si>
  <si>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</si>
  <si>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</si>
  <si>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</si>
  <si>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</si>
  <si>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</si>
  <si>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</si>
  <si>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</si>
  <si>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</si>
  <si>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</si>
  <si>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</si>
  <si>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</si>
  <si>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</si>
  <si>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</si>
  <si>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</si>
  <si>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</si>
  <si>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</si>
  <si>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</si>
  <si>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</si>
  <si>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</si>
  <si>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</si>
  <si>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</si>
  <si>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</si>
  <si>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</si>
  <si>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</si>
  <si>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</si>
  <si>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</si>
  <si>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</si>
  <si>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</si>
  <si>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</si>
  <si>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</si>
  <si>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</si>
  <si>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</si>
  <si>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</si>
  <si>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</si>
  <si>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</si>
  <si>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</si>
  <si>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</si>
  <si>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</si>
  <si>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</si>
  <si>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</si>
  <si>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</si>
  <si>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</si>
  <si>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</si>
  <si>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</si>
  <si>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</si>
  <si>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</si>
  <si>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</si>
  <si>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</si>
  <si>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</si>
  <si>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</si>
  <si>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</si>
  <si>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</si>
  <si>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</si>
  <si>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</si>
  <si>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</si>
  <si>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</si>
  <si>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</si>
  <si>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</si>
  <si>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</si>
  <si>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</si>
  <si>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</si>
  <si>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</si>
  <si>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</si>
  <si>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</si>
  <si>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</si>
  <si>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</si>
  <si>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</si>
  <si>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</si>
  <si>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</si>
  <si>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</si>
  <si>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</si>
  <si>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</si>
  <si>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</si>
  <si>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</si>
  <si>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</si>
  <si>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</si>
  <si>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</si>
  <si>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</si>
  <si>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</si>
  <si>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</si>
  <si>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</si>
  <si>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</si>
  <si>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</si>
  <si>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</si>
  <si>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</si>
  <si>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</si>
  <si>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</si>
  <si>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</si>
  <si>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</si>
  <si>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</si>
  <si>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</si>
  <si>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</si>
  <si>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</si>
  <si>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</si>
  <si>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</si>
  <si>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</si>
  <si>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</si>
  <si>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</si>
  <si>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</si>
  <si>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</si>
  <si>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</si>
  <si>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</si>
  <si>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</si>
  <si>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</si>
  <si>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</si>
  <si>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</si>
  <si>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</si>
  <si>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</si>
  <si>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</si>
  <si>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</si>
  <si>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</si>
  <si>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</si>
  <si>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</si>
  <si>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</si>
  <si>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</si>
  <si>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</si>
  <si>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</si>
  <si>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</si>
  <si>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</si>
  <si>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</si>
  <si>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</si>
  <si>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</si>
  <si>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</si>
  <si>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</si>
  <si>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</si>
  <si>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</si>
  <si>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</si>
  <si>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</si>
  <si>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</si>
  <si>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</si>
  <si>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</si>
  <si>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</si>
  <si>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</si>
  <si>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</si>
  <si>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</si>
  <si>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</si>
  <si>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</si>
  <si>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</si>
  <si>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</si>
  <si>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</si>
  <si>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</si>
  <si>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</si>
  <si>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</si>
  <si>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</si>
  <si>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</si>
  <si>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</si>
  <si>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</si>
  <si>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</si>
  <si>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</si>
  <si>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</si>
  <si>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</si>
  <si>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</si>
  <si>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</si>
  <si>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</si>
  <si>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</si>
  <si>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</si>
  <si>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</si>
  <si>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</si>
  <si>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</si>
  <si>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</si>
  <si>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</si>
  <si>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</si>
  <si>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</si>
  <si>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</si>
  <si>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</si>
  <si>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</si>
  <si>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</si>
  <si>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</si>
  <si>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</si>
  <si>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</si>
  <si>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</si>
  <si>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</si>
  <si>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</si>
  <si>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</si>
  <si>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</si>
  <si>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</si>
  <si>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</si>
  <si>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</si>
  <si>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</si>
  <si>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</si>
  <si>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</si>
  <si>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</si>
  <si>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</si>
  <si>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</si>
  <si>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</si>
  <si>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</si>
  <si>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</si>
  <si>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</si>
  <si>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</si>
  <si>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</si>
  <si>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</si>
  <si>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</si>
  <si>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</si>
  <si>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</si>
  <si>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</si>
  <si>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</si>
  <si>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</si>
  <si>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</si>
  <si>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</si>
  <si>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</si>
  <si>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</si>
  <si>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</si>
  <si>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</si>
  <si>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</si>
  <si>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</si>
  <si>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</si>
  <si>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</si>
  <si>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</si>
  <si>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</si>
  <si>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</si>
  <si>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</si>
  <si>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</si>
  <si>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</si>
  <si>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</si>
  <si>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</si>
  <si>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</si>
  <si>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</si>
  <si>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</si>
  <si>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</si>
  <si>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</si>
  <si>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</si>
  <si>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</si>
  <si>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</si>
  <si>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</si>
  <si>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</si>
  <si>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</si>
  <si>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</si>
  <si>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</si>
  <si>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</si>
  <si>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</si>
  <si>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</si>
  <si>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</si>
  <si>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</si>
  <si>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</si>
  <si>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</si>
  <si>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</si>
  <si>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</si>
  <si>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</si>
  <si>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</si>
  <si>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</si>
  <si>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</si>
  <si>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</si>
  <si>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</si>
  <si>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</si>
  <si>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</si>
  <si>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</si>
  <si>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</si>
  <si>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</si>
  <si>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</si>
  <si>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</si>
  <si>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</si>
  <si>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</si>
  <si>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</si>
  <si>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</si>
  <si>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</si>
  <si>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</si>
  <si>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</si>
  <si>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</si>
  <si>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</si>
  <si>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</si>
  <si>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</si>
  <si>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</si>
  <si>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</si>
  <si>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</si>
  <si>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</si>
  <si>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</si>
  <si>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</si>
  <si>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</si>
  <si>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</si>
  <si>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</si>
  <si>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</si>
  <si>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</si>
  <si>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</si>
  <si>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</si>
  <si>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</si>
  <si>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</si>
  <si>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</si>
  <si>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</si>
  <si>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</si>
  <si>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</si>
  <si>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</si>
  <si>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</si>
  <si>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</si>
  <si>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</si>
  <si>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</si>
  <si>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</si>
  <si>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</si>
  <si>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</si>
  <si>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</si>
  <si>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</si>
  <si>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</si>
  <si>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</si>
  <si>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</si>
  <si>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</si>
  <si>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</si>
  <si>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</si>
  <si>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</si>
  <si>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</si>
  <si>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</si>
  <si>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</si>
  <si>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</si>
  <si>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</si>
  <si>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</si>
  <si>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</si>
  <si>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</si>
  <si>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</si>
  <si>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</si>
  <si>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</si>
  <si>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</si>
  <si>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</si>
  <si>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</si>
  <si>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</si>
  <si>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</si>
  <si>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</si>
  <si>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</si>
  <si>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</si>
  <si>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</si>
  <si>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</si>
  <si>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</si>
  <si>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</si>
  <si>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</si>
  <si>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</si>
  <si>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</si>
  <si>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</si>
  <si>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</si>
  <si>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</si>
  <si>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</si>
  <si>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</si>
  <si>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</si>
  <si>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</si>
  <si>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</si>
  <si>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</si>
  <si>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</si>
  <si>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</si>
  <si>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</si>
  <si>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</si>
  <si>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</si>
  <si>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</si>
  <si>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</si>
  <si>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</si>
  <si>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</si>
  <si>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</si>
  <si>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</si>
  <si>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</si>
  <si>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</si>
  <si>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</si>
  <si>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</si>
  <si>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</si>
  <si>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</si>
  <si>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</si>
  <si>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</si>
  <si>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</si>
  <si>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</si>
  <si>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</si>
  <si>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</si>
  <si>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</si>
  <si>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</si>
  <si>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</si>
  <si>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</si>
  <si>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</si>
  <si>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</si>
  <si>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</si>
  <si>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</si>
  <si>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</si>
  <si>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</si>
  <si>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</si>
  <si>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</si>
  <si>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</si>
  <si>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</si>
  <si>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</si>
  <si>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</si>
  <si>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</si>
  <si>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</si>
  <si>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</si>
  <si>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</si>
  <si>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</si>
  <si>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</si>
  <si>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</si>
  <si>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</si>
  <si>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</si>
  <si>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</si>
  <si>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</si>
  <si>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</si>
  <si>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</si>
  <si>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</si>
  <si>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</si>
  <si>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</si>
  <si>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</si>
  <si>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</si>
  <si>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</si>
  <si>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</si>
  <si>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</si>
  <si>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</si>
  <si>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</si>
  <si>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</si>
  <si>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</si>
  <si>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</si>
  <si>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</si>
  <si>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</si>
  <si>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</si>
  <si>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</si>
  <si>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</si>
  <si>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</si>
  <si>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</si>
  <si>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</si>
  <si>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</si>
  <si>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</si>
  <si>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</si>
  <si>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</si>
  <si>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</si>
  <si>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</si>
  <si>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</si>
  <si>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</si>
  <si>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</si>
  <si>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</si>
  <si>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</si>
  <si>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</si>
  <si>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</si>
  <si>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</si>
  <si>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</si>
  <si>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</si>
  <si>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</si>
  <si>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</si>
  <si>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</si>
  <si>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</si>
  <si>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</si>
  <si>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</si>
  <si>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</si>
  <si>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</si>
  <si>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</si>
  <si>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</si>
  <si>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</si>
  <si>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</si>
  <si>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</si>
  <si>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</si>
  <si>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</si>
  <si>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</si>
  <si>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</si>
  <si>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</si>
  <si>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</si>
  <si>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</si>
  <si>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</si>
  <si>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</si>
  <si>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</si>
  <si>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</si>
  <si>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</si>
  <si>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</si>
  <si>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</si>
  <si>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</si>
  <si>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</si>
  <si>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</si>
  <si>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</si>
  <si>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</si>
  <si>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</si>
  <si>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</si>
  <si>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</si>
  <si>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</si>
  <si>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</si>
  <si>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</si>
  <si>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</si>
  <si>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</si>
  <si>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</si>
  <si>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</si>
  <si>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</si>
  <si>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</si>
  <si>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</si>
  <si>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</si>
  <si>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</si>
  <si>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</si>
  <si>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</si>
  <si>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</si>
  <si>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</si>
  <si>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</si>
  <si>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</si>
  <si>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</si>
  <si>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</si>
  <si>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</si>
  <si>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</si>
  <si>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</si>
  <si>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</si>
  <si>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</si>
  <si>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</si>
  <si>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</si>
  <si>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</si>
  <si>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</si>
  <si>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</si>
  <si>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</si>
  <si>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</si>
  <si>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</si>
  <si>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</si>
  <si>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</si>
  <si>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</si>
  <si>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</si>
  <si>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</si>
  <si>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</si>
  <si>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</si>
  <si>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</si>
  <si>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</si>
  <si>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</si>
  <si>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</si>
  <si>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</si>
  <si>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</si>
  <si>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</si>
  <si>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</si>
  <si>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</si>
  <si>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</si>
  <si>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</si>
  <si>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</si>
  <si>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</si>
  <si>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</si>
  <si>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</si>
  <si>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</si>
  <si>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</si>
  <si>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</si>
  <si>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</si>
  <si>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</si>
  <si>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</si>
  <si>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</si>
  <si>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</si>
  <si>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</si>
  <si>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</si>
  <si>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</si>
  <si>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</si>
  <si>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</si>
  <si>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</si>
  <si>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</si>
  <si>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</si>
  <si>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</si>
  <si>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</si>
  <si>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</si>
  <si>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</si>
  <si>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</si>
  <si>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</si>
  <si>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</si>
  <si>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</si>
  <si>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</si>
  <si>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</si>
  <si>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</si>
  <si>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</si>
  <si>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</si>
  <si>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</si>
  <si>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</si>
  <si>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</si>
  <si>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</si>
  <si>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</si>
  <si>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</si>
  <si>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</si>
  <si>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</si>
  <si>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</si>
  <si>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</si>
  <si>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</si>
  <si>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</si>
  <si>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</si>
  <si>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</si>
  <si>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</si>
  <si>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</si>
  <si>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</si>
  <si>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</si>
  <si>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</si>
  <si>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</si>
  <si>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</si>
  <si>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</si>
  <si>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</si>
  <si>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</si>
  <si>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</si>
  <si>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</si>
  <si>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</si>
  <si>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</si>
  <si>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</si>
  <si>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</si>
  <si>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</si>
  <si>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</si>
  <si>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</si>
  <si>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</si>
  <si>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</si>
  <si>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</si>
  <si>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</si>
  <si>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</si>
  <si>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</si>
  <si>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</si>
  <si>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</si>
  <si>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</si>
  <si>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</si>
  <si>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</si>
  <si>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</si>
  <si>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</si>
  <si>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</si>
  <si>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</si>
  <si>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</si>
  <si>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</si>
  <si>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</si>
  <si>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</si>
  <si>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</si>
  <si>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</si>
  <si>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</si>
  <si>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</si>
  <si>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</si>
  <si>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</si>
  <si>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</si>
  <si>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</si>
  <si>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</si>
  <si>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</si>
  <si>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</si>
  <si>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</si>
  <si>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</si>
  <si>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</si>
  <si>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</si>
  <si>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</si>
  <si>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</si>
  <si>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</si>
  <si>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</si>
  <si>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</si>
  <si>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</si>
  <si>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</si>
  <si>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</si>
  <si>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</si>
  <si>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</si>
  <si>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</si>
  <si>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</si>
  <si>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</si>
  <si>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</si>
  <si>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</si>
  <si>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</si>
  <si>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</si>
  <si>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</si>
  <si>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</si>
  <si>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</si>
  <si>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</si>
  <si>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</si>
  <si>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</si>
  <si>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</si>
  <si>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</si>
  <si>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</si>
  <si>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</si>
  <si>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</si>
  <si>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</si>
  <si>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</si>
  <si>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</si>
  <si>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</si>
  <si>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</si>
  <si>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</si>
  <si>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</si>
  <si>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</si>
  <si>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</si>
  <si>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</si>
  <si>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</si>
  <si>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</si>
  <si>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</si>
  <si>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</si>
  <si>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</si>
  <si>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</si>
  <si>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</si>
  <si>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</si>
  <si>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</si>
  <si>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</si>
  <si>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</si>
  <si>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</si>
  <si>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</si>
  <si>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</si>
  <si>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</si>
  <si>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</si>
  <si>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</si>
  <si>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</si>
  <si>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</si>
  <si>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</si>
  <si>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</si>
  <si>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</si>
  <si>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</si>
  <si>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</si>
  <si>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</si>
  <si>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</si>
  <si>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</si>
  <si>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</si>
  <si>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</si>
  <si>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</si>
  <si>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</si>
  <si>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</si>
  <si>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</si>
  <si>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</si>
  <si>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</si>
  <si>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</si>
  <si>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</si>
  <si>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</si>
  <si>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</si>
  <si>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</si>
  <si>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</si>
  <si>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</si>
  <si>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</si>
  <si>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</si>
  <si>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</si>
  <si>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</si>
  <si>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</si>
  <si>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</si>
  <si>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</si>
  <si>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</si>
  <si>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</si>
  <si>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</si>
  <si>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</si>
  <si>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</si>
  <si>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</si>
  <si>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</si>
  <si>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</si>
  <si>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</si>
  <si>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</si>
  <si>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</si>
  <si>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</si>
  <si>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</si>
  <si>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</si>
  <si>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</si>
  <si>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</si>
  <si>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</si>
  <si>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</si>
  <si>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</si>
  <si>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</si>
  <si>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</si>
  <si>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</si>
  <si>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</si>
  <si>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</si>
  <si>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</si>
  <si>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</si>
  <si>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</si>
  <si>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</si>
  <si>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</si>
  <si>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</si>
  <si>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</si>
  <si>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</si>
  <si>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</si>
  <si>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</si>
  <si>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</si>
  <si>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</si>
  <si>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</si>
  <si>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</si>
  <si>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</si>
  <si>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</si>
  <si>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</si>
  <si>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</si>
  <si>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</si>
  <si>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</si>
  <si>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</si>
  <si>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</si>
  <si>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</si>
  <si>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</si>
  <si>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</si>
  <si>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</si>
  <si>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</si>
  <si>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</si>
  <si>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</si>
  <si>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</si>
  <si>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</si>
  <si>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</si>
  <si>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</si>
  <si>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</si>
  <si>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</si>
  <si>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</si>
  <si>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</si>
  <si>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</si>
  <si>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</si>
  <si>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</si>
  <si>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</si>
  <si>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</si>
  <si>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</si>
  <si>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</si>
  <si>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</si>
  <si>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</si>
  <si>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</si>
  <si>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</si>
  <si>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</si>
  <si>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</si>
  <si>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</si>
  <si>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</si>
  <si>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</si>
  <si>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</si>
  <si>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</si>
  <si>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</si>
  <si>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</si>
  <si>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</si>
  <si>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</si>
  <si>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</si>
  <si>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</si>
  <si>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</si>
  <si>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</si>
  <si>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</si>
  <si>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</si>
  <si>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</si>
  <si>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</si>
  <si>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</si>
  <si>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</si>
  <si>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</si>
  <si>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</si>
  <si>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</si>
  <si>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</si>
  <si>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</si>
  <si>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</si>
  <si>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</si>
  <si>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</si>
  <si>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</si>
  <si>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</si>
  <si>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</si>
  <si>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</si>
  <si>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</si>
  <si>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</si>
  <si>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</si>
  <si>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</si>
  <si>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</si>
  <si>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</si>
  <si>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</si>
  <si>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</si>
  <si>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</si>
  <si>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</si>
  <si>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</si>
  <si>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</si>
  <si>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</si>
  <si>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</si>
  <si>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</si>
  <si>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</si>
  <si>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</si>
  <si>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</si>
  <si>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</si>
  <si>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</si>
  <si>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</si>
  <si>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</si>
  <si>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</si>
  <si>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</si>
  <si>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</si>
  <si>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</si>
  <si>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</si>
  <si>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</si>
  <si>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</si>
  <si>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</si>
  <si>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</si>
  <si>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</si>
  <si>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</si>
  <si>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</si>
  <si>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</si>
  <si>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</si>
  <si>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</si>
  <si>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</si>
  <si>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</si>
  <si>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</si>
  <si>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</si>
  <si>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</si>
  <si>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</si>
  <si>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</si>
  <si>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</si>
  <si>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</si>
  <si>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</si>
  <si>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</si>
  <si>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</si>
  <si>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</si>
  <si>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</si>
  <si>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</si>
  <si>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</si>
  <si>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</si>
  <si>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</si>
  <si>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</si>
  <si>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</si>
  <si>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</si>
  <si>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</si>
  <si>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</si>
  <si>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</si>
  <si>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</si>
  <si>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</si>
  <si>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</si>
  <si>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</si>
  <si>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</si>
  <si>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</si>
  <si>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</si>
  <si>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</si>
  <si>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</si>
  <si>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</si>
  <si>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</si>
  <si>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</si>
  <si>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</si>
  <si>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</si>
  <si>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</si>
  <si>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</si>
  <si>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</si>
  <si>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</si>
  <si>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</si>
  <si>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</si>
  <si>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</si>
  <si>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</si>
  <si>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</si>
  <si>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</si>
  <si>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</si>
  <si>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</si>
  <si>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</si>
  <si>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</si>
  <si>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</si>
  <si>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</si>
  <si>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</si>
  <si>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</si>
  <si>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</si>
  <si>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</si>
  <si>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</si>
  <si>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</si>
  <si>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</si>
  <si>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</si>
  <si>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</si>
  <si>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</si>
  <si>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</si>
  <si>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</si>
  <si>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</si>
  <si>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</si>
  <si>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</si>
  <si>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</si>
  <si>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</si>
  <si>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</si>
  <si>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</si>
  <si>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</si>
  <si>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</si>
  <si>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</si>
  <si>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</si>
  <si>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</si>
  <si>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</si>
  <si>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</si>
  <si>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</si>
  <si>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</si>
  <si>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</si>
  <si>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</si>
  <si>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</si>
  <si>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</si>
  <si>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</si>
  <si>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</si>
  <si>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</si>
  <si>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</si>
  <si>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</si>
  <si>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</si>
  <si>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</si>
  <si>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</si>
  <si>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</si>
  <si>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</si>
  <si>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</si>
  <si>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</si>
  <si>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</si>
  <si>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</si>
  <si>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</si>
  <si>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</si>
  <si>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</si>
  <si>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</si>
  <si>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</si>
  <si>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</si>
  <si>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</si>
  <si>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</si>
  <si>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</si>
  <si>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</si>
  <si>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</si>
  <si>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</si>
  <si>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</si>
  <si>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</si>
  <si>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</si>
  <si>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</si>
  <si>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</si>
  <si>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</si>
  <si>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</si>
  <si>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</si>
  <si>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</si>
  <si>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</si>
  <si>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</si>
  <si>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</si>
  <si>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</si>
  <si>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</si>
  <si>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</si>
  <si>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</si>
  <si>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</si>
  <si>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</si>
  <si>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</si>
  <si>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</si>
  <si>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</si>
  <si>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</si>
  <si>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</si>
  <si>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</si>
  <si>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</si>
  <si>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</si>
  <si>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</si>
  <si>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</si>
  <si>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</si>
  <si>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</si>
  <si>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</si>
  <si>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</si>
  <si>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</si>
  <si>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</si>
  <si>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</si>
  <si>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</si>
  <si>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</si>
  <si>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</si>
  <si>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</si>
  <si>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</si>
  <si>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</si>
  <si>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</si>
  <si>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</si>
  <si>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</si>
  <si>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</si>
  <si>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</si>
  <si>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</si>
  <si>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</si>
  <si>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</si>
  <si>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</si>
  <si>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</si>
  <si>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</si>
  <si>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</si>
  <si>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</si>
  <si>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</si>
  <si>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</si>
  <si>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</si>
  <si>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</si>
  <si>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</si>
  <si>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</si>
  <si>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</si>
  <si>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</si>
  <si>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</si>
  <si>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</si>
  <si>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</si>
  <si>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</si>
  <si>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</si>
  <si>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</si>
  <si>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</si>
  <si>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</si>
  <si>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</si>
  <si>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</si>
  <si>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</si>
  <si>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</si>
  <si>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</si>
  <si>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</si>
  <si>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</si>
  <si>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</si>
  <si>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</si>
  <si>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</si>
  <si>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</si>
  <si>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</si>
  <si>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</si>
  <si>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</si>
  <si>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</si>
  <si>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</si>
  <si>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</si>
  <si>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</si>
  <si>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</si>
  <si>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</si>
  <si>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</si>
  <si>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</si>
  <si>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</si>
  <si>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</si>
  <si>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</si>
  <si>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</si>
  <si>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</si>
  <si>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</si>
  <si>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</si>
  <si>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</si>
  <si>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</si>
  <si>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</si>
  <si>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</si>
  <si>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</si>
  <si>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</si>
  <si>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</si>
  <si>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</si>
  <si>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</si>
  <si>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</si>
  <si>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</si>
  <si>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</si>
  <si>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</si>
  <si>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</si>
  <si>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</si>
  <si>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</si>
  <si>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</si>
  <si>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</si>
  <si>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</si>
  <si>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</si>
  <si>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</si>
  <si>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</si>
  <si>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</si>
  <si>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</si>
  <si>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</si>
  <si>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</si>
  <si>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</si>
  <si>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</si>
  <si>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</si>
  <si>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</si>
  <si>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</si>
  <si>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</si>
  <si>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</si>
  <si>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</si>
  <si>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</si>
  <si>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</si>
  <si>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</si>
  <si>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</si>
  <si>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</si>
  <si>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</si>
  <si>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</si>
  <si>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</si>
  <si>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</si>
  <si>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</si>
  <si>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</si>
  <si>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</si>
  <si>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</si>
  <si>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</si>
  <si>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</si>
  <si>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</si>
  <si>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</si>
  <si>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</si>
  <si>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</si>
  <si>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</si>
  <si>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</si>
  <si>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</si>
  <si>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</si>
  <si>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</si>
  <si>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</si>
  <si>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</si>
  <si>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</si>
  <si>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</si>
  <si>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</si>
  <si>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</si>
  <si>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</si>
  <si>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</si>
  <si>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</si>
  <si>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</si>
  <si>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</si>
  <si>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</si>
  <si>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</si>
  <si>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</si>
  <si>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</si>
  <si>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</si>
  <si>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</si>
  <si>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</si>
  <si>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</si>
  <si>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</si>
  <si>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</si>
  <si>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</si>
  <si>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</si>
  <si>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</si>
  <si>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</si>
  <si>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</si>
  <si>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</si>
  <si>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</si>
  <si>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</si>
  <si>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</si>
  <si>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</si>
  <si>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</si>
  <si>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</si>
  <si>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</si>
  <si>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</si>
  <si>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</si>
  <si>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</si>
  <si>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</si>
  <si>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</si>
  <si>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</si>
  <si>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</si>
  <si>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</si>
  <si>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</si>
  <si>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</si>
  <si>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</si>
  <si>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</si>
  <si>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</si>
  <si>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</si>
  <si>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</si>
  <si>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</si>
  <si>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</si>
  <si>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</si>
  <si>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</si>
  <si>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</si>
  <si>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</si>
  <si>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</si>
  <si>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</si>
  <si>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</si>
  <si>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</si>
  <si>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</si>
  <si>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</si>
  <si>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</si>
  <si>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</si>
  <si>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</si>
  <si>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</si>
  <si>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</si>
  <si>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</si>
  <si>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</si>
  <si>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</si>
  <si>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</si>
  <si>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</si>
  <si>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</si>
  <si>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</si>
  <si>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</si>
  <si>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</si>
  <si>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</si>
  <si>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</si>
  <si>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</si>
  <si>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</si>
  <si>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</si>
  <si>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</si>
  <si>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</si>
  <si>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</si>
  <si>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</si>
  <si>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</si>
  <si>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</si>
  <si>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</si>
  <si>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</si>
  <si>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</si>
  <si>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</si>
  <si>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</si>
  <si>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</si>
  <si>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</si>
  <si>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</si>
  <si>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</si>
  <si>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</si>
  <si>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</si>
  <si>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</si>
  <si>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</si>
  <si>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</si>
  <si>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</si>
  <si>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</si>
  <si>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</si>
  <si>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</si>
  <si>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</si>
  <si>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</si>
  <si>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</si>
  <si>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</si>
  <si>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</si>
  <si>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</si>
  <si>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</si>
  <si>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</si>
  <si>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</si>
  <si>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</si>
  <si>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</si>
  <si>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</si>
  <si>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</si>
  <si>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</si>
  <si>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</si>
  <si>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</si>
  <si>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</si>
  <si>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</si>
  <si>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</si>
  <si>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</si>
  <si>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</si>
  <si>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</si>
  <si>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</si>
  <si>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</si>
  <si>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</si>
  <si>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</si>
  <si>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</si>
  <si>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</si>
  <si>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</si>
  <si>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</si>
  <si>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</si>
  <si>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</si>
  <si>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</si>
  <si>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</si>
  <si>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</si>
  <si>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</si>
  <si>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</si>
  <si>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</si>
  <si>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</si>
  <si>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</si>
  <si>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</si>
  <si>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</si>
  <si>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</si>
  <si>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</si>
  <si>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</si>
  <si>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</si>
  <si>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</si>
  <si>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</si>
  <si>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</si>
  <si>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</si>
  <si>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</si>
  <si>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</si>
  <si>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</si>
  <si>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</si>
  <si>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</si>
  <si>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</si>
  <si>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</si>
  <si>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</si>
  <si>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</si>
  <si>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</si>
  <si>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</si>
  <si>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</si>
  <si>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</si>
  <si>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</si>
  <si>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</si>
  <si>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</si>
  <si>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</si>
  <si>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</si>
  <si>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</si>
  <si>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</si>
  <si>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</si>
  <si>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</si>
  <si>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</si>
  <si>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</si>
  <si>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</si>
  <si>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</si>
  <si>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</si>
  <si>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</si>
  <si>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</si>
  <si>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</si>
  <si>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</si>
  <si>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</si>
  <si>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</si>
  <si>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</si>
  <si>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</si>
  <si>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</si>
  <si>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</si>
  <si>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</si>
  <si>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</si>
  <si>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</si>
  <si>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</si>
  <si>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</si>
  <si>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</si>
  <si>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</si>
  <si>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</si>
  <si>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</si>
  <si>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</si>
  <si>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</si>
  <si>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</si>
  <si>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</si>
  <si>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</si>
  <si>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</si>
  <si>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</si>
  <si>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</si>
  <si>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</si>
  <si>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</si>
  <si>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</si>
  <si>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</si>
  <si>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</si>
  <si>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</si>
  <si>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</si>
  <si>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</si>
  <si>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</si>
  <si>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</si>
  <si>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</si>
  <si>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</si>
  <si>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</si>
  <si>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</si>
  <si>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</si>
  <si>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</si>
  <si>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</si>
  <si>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</si>
  <si>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</si>
  <si>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</si>
  <si>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</si>
  <si>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</si>
  <si>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</si>
  <si>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</si>
  <si>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</si>
  <si>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</si>
  <si>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</si>
  <si>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</si>
  <si>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</si>
  <si>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</si>
  <si>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</si>
  <si>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</si>
  <si>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</si>
  <si>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</si>
  <si>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</si>
  <si>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</si>
  <si>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</si>
  <si>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</si>
  <si>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</si>
  <si>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</si>
  <si>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</si>
  <si>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</si>
  <si>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</si>
  <si>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</si>
  <si>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</si>
  <si>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</si>
  <si>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</si>
  <si>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</si>
  <si>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</si>
  <si>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</si>
  <si>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</si>
  <si>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</si>
  <si>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</si>
  <si>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</si>
  <si>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</si>
  <si>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</si>
  <si>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</si>
  <si>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</si>
  <si>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</si>
  <si>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</si>
  <si>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</si>
  <si>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</si>
  <si>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</si>
  <si>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</si>
  <si>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</si>
  <si>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</si>
  <si>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</si>
  <si>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</si>
  <si>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</si>
  <si>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</si>
  <si>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</si>
  <si>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</si>
  <si>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</si>
  <si>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</si>
  <si>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</si>
  <si>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</si>
  <si>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</si>
  <si>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</si>
  <si>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</si>
  <si>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</si>
  <si>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</si>
  <si>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</si>
  <si>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</si>
  <si>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</si>
  <si>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</si>
  <si>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</si>
  <si>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</si>
  <si>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</si>
  <si>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</si>
  <si>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</si>
  <si>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</si>
  <si>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</si>
  <si>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</si>
  <si>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</si>
  <si>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</si>
  <si>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</si>
  <si>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</si>
  <si>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</si>
  <si>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</si>
  <si>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</si>
  <si>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</si>
  <si>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</si>
  <si>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</si>
  <si>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</si>
  <si>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</si>
  <si>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</si>
  <si>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</si>
  <si>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</si>
  <si>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</si>
  <si>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</si>
  <si>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</si>
  <si>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</si>
  <si>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</si>
  <si>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</si>
  <si>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</si>
  <si>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</si>
  <si>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</si>
  <si>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</si>
  <si>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</si>
  <si>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</si>
  <si>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</si>
  <si>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</si>
  <si>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</si>
  <si>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</si>
  <si>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</si>
  <si>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</si>
  <si>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</si>
  <si>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</si>
  <si>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</si>
  <si>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</si>
  <si>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</si>
  <si>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</si>
  <si>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</si>
  <si>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</si>
  <si>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</si>
  <si>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</si>
  <si>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</si>
  <si>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</si>
  <si>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</si>
  <si>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</si>
  <si>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</si>
  <si>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</si>
  <si>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</si>
  <si>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</si>
  <si>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</si>
  <si>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</si>
  <si>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</si>
  <si>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</si>
  <si>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</si>
  <si>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</si>
  <si>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</si>
  <si>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</si>
  <si>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</si>
  <si>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</si>
  <si>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</si>
  <si>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</si>
  <si>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</si>
  <si>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</si>
  <si>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</si>
  <si>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</si>
  <si>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</si>
  <si>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</si>
  <si>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</si>
  <si>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</si>
  <si>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</si>
  <si>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</si>
  <si>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</si>
  <si>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</si>
  <si>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</si>
  <si>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</si>
  <si>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</si>
  <si>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</si>
  <si>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</si>
  <si>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</si>
  <si>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</si>
  <si>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</si>
  <si>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</si>
  <si>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</si>
  <si>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</si>
  <si>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</si>
  <si>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</si>
  <si>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</si>
  <si>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</si>
  <si>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</si>
  <si>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</si>
  <si>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</si>
  <si>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</si>
  <si>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</si>
  <si>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</si>
  <si>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</si>
  <si>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</si>
  <si>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</si>
  <si>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</si>
  <si>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</si>
  <si>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</si>
  <si>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</si>
  <si>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</si>
  <si>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</si>
  <si>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</si>
  <si>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</si>
  <si>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</si>
  <si>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</si>
  <si>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</si>
  <si>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</si>
  <si>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</si>
  <si>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</si>
  <si>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</si>
  <si>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</si>
  <si>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</si>
  <si>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</si>
  <si>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</si>
  <si>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</si>
  <si>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</si>
  <si>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</si>
  <si>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</si>
  <si>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</si>
  <si>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</si>
  <si>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</si>
  <si>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</si>
  <si>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</si>
  <si>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</si>
  <si>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</si>
  <si>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</si>
  <si>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</si>
  <si>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</si>
  <si>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</si>
  <si>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</si>
  <si>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</si>
  <si>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</si>
  <si>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</si>
  <si>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</si>
  <si>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</si>
  <si>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</si>
  <si>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</si>
  <si>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</si>
  <si>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</si>
  <si>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</si>
  <si>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</si>
  <si>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</si>
  <si>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</si>
  <si>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</si>
  <si>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</si>
  <si>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</si>
  <si>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</si>
  <si>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</si>
  <si>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</si>
  <si>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</si>
  <si>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</si>
  <si>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</si>
  <si>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</si>
  <si>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</si>
  <si>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</si>
  <si>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</si>
  <si>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</si>
  <si>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</si>
  <si>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</si>
  <si>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</si>
  <si>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</si>
  <si>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</si>
  <si>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</si>
  <si>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</si>
  <si>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</si>
  <si>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</si>
  <si>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</si>
  <si>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</si>
  <si>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</si>
  <si>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</si>
  <si>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</si>
  <si>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</si>
  <si>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</si>
  <si>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</si>
  <si>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</si>
  <si>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</si>
  <si>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</si>
  <si>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</si>
  <si>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</si>
  <si>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</si>
  <si>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</si>
  <si>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</si>
  <si>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</si>
  <si>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</si>
  <si>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</si>
  <si>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</si>
  <si>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</si>
  <si>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</si>
  <si>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</si>
  <si>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</si>
  <si>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</si>
  <si>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</si>
  <si>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</si>
  <si>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</si>
  <si>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</si>
  <si>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</si>
  <si>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</si>
  <si>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</si>
  <si>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</si>
  <si>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</si>
  <si>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</si>
  <si>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</si>
  <si>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</si>
  <si>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</si>
  <si>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</si>
  <si>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</si>
  <si>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</si>
  <si>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</si>
  <si>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</si>
  <si>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</si>
  <si>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</si>
  <si>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</si>
  <si>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</si>
  <si>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</si>
  <si>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</si>
  <si>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</si>
  <si>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</si>
  <si>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</si>
  <si>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</si>
  <si>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</si>
  <si>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</si>
  <si>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</si>
  <si>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</si>
  <si>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</si>
  <si>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</si>
  <si>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</si>
  <si>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</si>
  <si>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</si>
  <si>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</si>
  <si>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</si>
  <si>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</si>
  <si>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</si>
  <si>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</si>
  <si>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</si>
  <si>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</si>
  <si>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</si>
  <si>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</si>
  <si>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</si>
  <si>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</si>
  <si>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</si>
  <si>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</si>
  <si>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</si>
  <si>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</si>
  <si>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</si>
  <si>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</si>
  <si>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</si>
  <si>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</si>
  <si>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</si>
  <si>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</si>
  <si>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</si>
  <si>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</si>
  <si>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</si>
  <si>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</si>
  <si>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</si>
  <si>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</si>
  <si>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</si>
  <si>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</si>
  <si>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</si>
  <si>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</si>
  <si>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</si>
  <si>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</si>
  <si>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</si>
  <si>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</si>
  <si>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</si>
  <si>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</si>
  <si>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</si>
  <si>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</si>
  <si>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</si>
  <si>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</si>
  <si>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</si>
  <si>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</si>
  <si>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</si>
  <si>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</si>
  <si>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</si>
  <si>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</si>
  <si>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</si>
  <si>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</si>
  <si>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</si>
  <si>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</si>
  <si>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</si>
  <si>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</si>
  <si>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</si>
  <si>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</si>
  <si>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</si>
  <si>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</si>
  <si>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</si>
  <si>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</si>
  <si>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</si>
  <si>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</si>
  <si>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</si>
  <si>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</si>
  <si>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</si>
  <si>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</si>
  <si>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</si>
  <si>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</si>
  <si>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</si>
  <si>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</si>
  <si>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</si>
  <si>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</si>
  <si>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</si>
  <si>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</si>
  <si>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</si>
  <si>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</si>
  <si>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</si>
  <si>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</si>
  <si>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</si>
  <si>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</si>
  <si>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</si>
  <si>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</si>
  <si>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</si>
  <si>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</si>
  <si>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</si>
  <si>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</si>
  <si>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</si>
  <si>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</si>
  <si>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</si>
  <si>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</si>
  <si>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</si>
  <si>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</si>
  <si>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</si>
  <si>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</si>
  <si>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</si>
  <si>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</si>
  <si>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</si>
  <si>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</si>
  <si>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</si>
  <si>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</si>
  <si>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</si>
  <si>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</si>
  <si>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</si>
  <si>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</si>
  <si>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</si>
  <si>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</si>
  <si>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</si>
  <si>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</si>
  <si>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</si>
  <si>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</si>
  <si>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</si>
  <si>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</si>
  <si>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</si>
  <si>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</si>
  <si>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</si>
  <si>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</si>
  <si>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</si>
  <si>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</si>
  <si>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</si>
  <si>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</si>
  <si>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</si>
  <si>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</si>
  <si>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</si>
  <si>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</si>
  <si>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</si>
  <si>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</si>
  <si>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</si>
  <si>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</si>
  <si>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</si>
  <si>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</si>
  <si>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</si>
  <si>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</si>
  <si>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</si>
  <si>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</si>
  <si>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</si>
  <si>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</si>
  <si>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</si>
  <si>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</si>
  <si>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</si>
  <si>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</si>
  <si>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</si>
  <si>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</si>
  <si>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</si>
  <si>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</si>
  <si>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</si>
  <si>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</si>
  <si>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</si>
  <si>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</si>
  <si>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</si>
  <si>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</si>
  <si>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</si>
  <si>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</si>
  <si>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</si>
  <si>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</si>
  <si>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</si>
  <si>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</si>
  <si>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</si>
  <si>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</si>
  <si>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</si>
  <si>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</si>
  <si>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</si>
  <si>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</si>
  <si>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</si>
  <si>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</si>
  <si>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</si>
  <si>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</si>
  <si>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</si>
  <si>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</si>
  <si>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</si>
  <si>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</si>
  <si>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</si>
  <si>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</si>
  <si>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</si>
  <si>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</si>
  <si>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</si>
  <si>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</si>
  <si>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</si>
  <si>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</si>
  <si>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</si>
  <si>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</si>
  <si>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</si>
  <si>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</si>
  <si>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</si>
  <si>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</si>
  <si>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</si>
  <si>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</si>
  <si>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</si>
  <si>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</si>
  <si>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</si>
  <si>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</si>
  <si>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</si>
  <si>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</si>
  <si>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</si>
  <si>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</si>
  <si>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</si>
  <si>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</si>
  <si>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</si>
  <si>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</si>
  <si>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</si>
  <si>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</si>
  <si>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</si>
  <si>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</si>
  <si>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</si>
  <si>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</si>
  <si>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</si>
  <si>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</si>
  <si>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</si>
  <si>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</si>
  <si>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</si>
  <si>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</si>
  <si>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</si>
  <si>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</si>
  <si>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</si>
  <si>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</si>
  <si>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</si>
  <si>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</si>
  <si>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</si>
  <si>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</si>
  <si>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</si>
  <si>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</si>
  <si>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</si>
  <si>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</si>
  <si>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</si>
  <si>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</si>
  <si>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</si>
  <si>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</si>
  <si>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</si>
  <si>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</si>
  <si>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</si>
  <si>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</si>
  <si>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</si>
  <si>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</si>
  <si>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</si>
  <si>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</si>
  <si>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</si>
  <si>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</si>
  <si>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</si>
  <si>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</si>
  <si>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</si>
  <si>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</si>
  <si>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</si>
  <si>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</si>
  <si>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</si>
  <si>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</si>
  <si>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</si>
  <si>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</si>
  <si>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</si>
  <si>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</si>
  <si>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</si>
  <si>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</si>
  <si>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</si>
  <si>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</si>
  <si>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</si>
  <si>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</si>
  <si>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</si>
  <si>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</si>
  <si>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</si>
  <si>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</si>
  <si>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</si>
  <si>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</si>
  <si>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</si>
  <si>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</si>
  <si>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</si>
  <si>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</si>
  <si>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</si>
  <si>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</si>
  <si>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</si>
  <si>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</si>
  <si>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</si>
  <si>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</si>
  <si>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</si>
  <si>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</si>
  <si>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</si>
  <si>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</si>
  <si>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</si>
  <si>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</si>
  <si>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</si>
  <si>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</si>
  <si>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</si>
  <si>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</si>
  <si>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</si>
  <si>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</si>
  <si>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</si>
  <si>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</si>
  <si>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</si>
  <si>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</si>
  <si>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</si>
  <si>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</si>
  <si>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</si>
  <si>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</si>
  <si>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</si>
  <si>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</si>
  <si>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</si>
  <si>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</si>
  <si>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</si>
  <si>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</si>
  <si>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</si>
  <si>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</si>
  <si>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</si>
  <si>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</si>
  <si>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</si>
  <si>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</si>
  <si>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</si>
  <si>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</si>
  <si>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</si>
  <si>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</si>
  <si>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</si>
  <si>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</si>
  <si>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</si>
  <si>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</si>
  <si>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</si>
  <si>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</si>
  <si>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</si>
  <si>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</si>
  <si>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</si>
  <si>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</si>
  <si>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</si>
  <si>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</si>
  <si>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</si>
  <si>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</si>
  <si>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</si>
  <si>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</si>
  <si>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</si>
  <si>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</si>
  <si>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</si>
  <si>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</si>
  <si>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</si>
  <si>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</si>
  <si>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</si>
  <si>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</si>
  <si>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</si>
  <si>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</si>
  <si>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</si>
  <si>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</si>
  <si>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</si>
  <si>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</si>
  <si>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</si>
  <si>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</si>
  <si>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</si>
  <si>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</si>
  <si>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</si>
  <si>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</si>
  <si>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</si>
  <si>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</si>
  <si>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</si>
  <si>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</si>
  <si>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</si>
  <si>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</si>
  <si>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</si>
  <si>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</si>
  <si>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</si>
  <si>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</si>
  <si>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</si>
  <si>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</si>
  <si>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</si>
  <si>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</si>
  <si>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</si>
  <si>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</si>
  <si>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</si>
  <si>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</si>
  <si>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</si>
  <si>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</si>
  <si>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</si>
  <si>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</si>
  <si>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</si>
  <si>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</si>
  <si>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</si>
  <si>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</si>
  <si>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</si>
  <si>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</si>
  <si>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</si>
  <si>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</si>
  <si>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</si>
  <si>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</si>
  <si>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</si>
  <si>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</si>
  <si>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</si>
  <si>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</si>
  <si>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</si>
  <si>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</si>
  <si>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</si>
  <si>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</si>
  <si>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</si>
  <si>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</si>
  <si>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</si>
  <si>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</si>
  <si>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</si>
  <si>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</si>
  <si>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</si>
  <si>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</si>
  <si>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</si>
  <si>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</si>
  <si>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</si>
  <si>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</si>
  <si>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</si>
  <si>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</si>
  <si>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</si>
  <si>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</si>
  <si>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</si>
  <si>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</si>
  <si>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</si>
  <si>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</si>
  <si>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</si>
  <si>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</si>
  <si>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</si>
  <si>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</si>
  <si>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</si>
  <si>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</si>
  <si>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</si>
  <si>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</si>
  <si>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</si>
  <si>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</si>
  <si>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</si>
  <si>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</si>
  <si>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</si>
  <si>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</si>
  <si>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</si>
  <si>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</si>
  <si>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</si>
  <si>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</si>
  <si>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</si>
  <si>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</si>
  <si>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</si>
  <si>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</si>
  <si>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</si>
  <si>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</si>
  <si>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</si>
  <si>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</si>
  <si>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</si>
  <si>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</si>
  <si>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</si>
  <si>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</si>
  <si>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</si>
  <si>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</si>
  <si>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</si>
  <si>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</si>
  <si>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</si>
  <si>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</si>
  <si>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</si>
  <si>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</si>
  <si>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</si>
  <si>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</si>
  <si>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</si>
  <si>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</si>
  <si>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</si>
  <si>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</si>
  <si>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</si>
  <si>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</si>
  <si>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</si>
  <si>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</si>
  <si>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</si>
  <si>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</si>
  <si>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</si>
  <si>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</si>
  <si>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</si>
  <si>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</si>
  <si>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</si>
  <si>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</si>
  <si>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</si>
  <si>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</si>
  <si>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</si>
  <si>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</si>
  <si>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</si>
  <si>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</si>
  <si>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</si>
  <si>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</si>
  <si>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</si>
  <si>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</si>
  <si>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</si>
  <si>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</si>
  <si>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</si>
  <si>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</si>
  <si>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</si>
  <si>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</si>
  <si>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</si>
  <si>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</si>
  <si>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</si>
  <si>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</si>
  <si>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</si>
  <si>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</si>
  <si>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</si>
  <si>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</si>
  <si>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</si>
  <si>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</si>
  <si>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</si>
  <si>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</si>
  <si>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</si>
  <si>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</si>
  <si>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</si>
  <si>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</si>
  <si>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</si>
  <si>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</si>
  <si>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</si>
  <si>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</si>
  <si>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</si>
  <si>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</si>
  <si>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</si>
  <si>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</si>
  <si>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</si>
  <si>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</si>
  <si>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</si>
  <si>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</si>
  <si>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</si>
  <si>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</si>
  <si>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</si>
  <si>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</si>
  <si>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</si>
  <si>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</si>
  <si>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</si>
  <si>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</si>
  <si>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</si>
  <si>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</si>
  <si>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</si>
  <si>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</si>
  <si>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</si>
  <si>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</si>
  <si>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</si>
  <si>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</si>
  <si>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</si>
  <si>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</si>
  <si>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</si>
  <si>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</si>
  <si>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</si>
  <si>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</si>
  <si>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</si>
  <si>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</si>
  <si>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</si>
  <si>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</si>
  <si>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</si>
  <si>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</si>
  <si>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</si>
  <si>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</si>
  <si>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</si>
  <si>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</si>
  <si>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</si>
  <si>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</si>
  <si>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</si>
  <si>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</si>
  <si>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</si>
  <si>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</si>
  <si>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</si>
  <si>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</si>
  <si>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</si>
  <si>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</si>
  <si>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</si>
  <si>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</si>
  <si>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</si>
  <si>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</si>
  <si>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</si>
  <si>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</si>
  <si>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</si>
  <si>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</si>
  <si>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</si>
  <si>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</si>
  <si>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</si>
  <si>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</si>
  <si>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</si>
  <si>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</si>
  <si>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</si>
  <si>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</si>
  <si>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</si>
  <si>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</si>
  <si>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</si>
  <si>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</si>
  <si>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</si>
  <si>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</si>
  <si>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</si>
  <si>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</si>
  <si>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</si>
  <si>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</si>
  <si>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</si>
  <si>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</si>
  <si>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</si>
  <si>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</si>
  <si>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</si>
  <si>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</si>
  <si>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</si>
  <si>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</si>
  <si>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</si>
  <si>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</si>
  <si>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</si>
  <si>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</si>
  <si>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</si>
  <si>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</si>
  <si>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</si>
  <si>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</si>
  <si>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</si>
  <si>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</si>
  <si>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</si>
  <si>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</si>
  <si>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</si>
  <si>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</si>
  <si>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</si>
  <si>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</si>
  <si>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</si>
  <si>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</si>
  <si>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</si>
  <si>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</si>
  <si>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</si>
  <si>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</si>
  <si>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</si>
  <si>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</si>
  <si>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</si>
  <si>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</si>
  <si>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</si>
  <si>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</si>
  <si>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</si>
  <si>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</si>
  <si>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</si>
  <si>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</si>
  <si>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</si>
  <si>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</si>
  <si>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</si>
  <si>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</si>
  <si>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</si>
  <si>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</si>
  <si>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</si>
  <si>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</si>
  <si>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</si>
  <si>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</si>
  <si>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</si>
  <si>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</si>
  <si>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</si>
  <si>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</si>
  <si>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</si>
  <si>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</si>
  <si>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</si>
  <si>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</si>
  <si>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</si>
  <si>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</si>
  <si>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</si>
  <si>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</si>
  <si>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</si>
  <si>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</si>
  <si>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</si>
  <si>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</si>
  <si>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</si>
  <si>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</si>
  <si>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</si>
  <si>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</si>
  <si>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</si>
  <si>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</si>
  <si>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</si>
  <si>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</si>
  <si>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</si>
  <si>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</si>
  <si>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</si>
  <si>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</si>
  <si>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</si>
  <si>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</si>
  <si>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</si>
  <si>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</si>
  <si>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</si>
  <si>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</si>
  <si>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</si>
  <si>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</si>
  <si>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</si>
  <si>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</si>
  <si>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</si>
  <si>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</si>
  <si>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</si>
  <si>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</si>
  <si>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</si>
  <si>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</si>
  <si>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</si>
  <si>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</si>
  <si>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</si>
  <si>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</si>
  <si>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</si>
  <si>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</si>
  <si>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</si>
  <si>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</si>
  <si>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</si>
  <si>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</si>
  <si>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</si>
  <si>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</si>
  <si>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</si>
  <si>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</si>
  <si>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</si>
  <si>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</si>
  <si>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</si>
  <si>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</si>
  <si>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</si>
  <si>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</si>
  <si>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</si>
  <si>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</si>
  <si>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</si>
  <si>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</si>
  <si>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</si>
  <si>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</si>
  <si>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</si>
  <si>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</si>
  <si>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</si>
  <si>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</si>
  <si>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</si>
  <si>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</si>
  <si>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</si>
  <si>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</si>
  <si>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</si>
  <si>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</si>
  <si>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</si>
  <si>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</si>
  <si>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</si>
  <si>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</si>
  <si>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</si>
  <si>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</si>
  <si>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</si>
  <si>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</si>
  <si>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</si>
  <si>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</si>
  <si>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</si>
  <si>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</si>
  <si>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</si>
  <si>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</si>
  <si>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</si>
  <si>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</si>
  <si>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</si>
  <si>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</si>
  <si>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</si>
  <si>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</si>
  <si>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</si>
  <si>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</si>
  <si>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</si>
  <si>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</si>
  <si>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</si>
  <si>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</si>
  <si>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</si>
  <si>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</si>
  <si>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</si>
  <si>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</si>
  <si>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</si>
  <si>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</si>
  <si>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</si>
  <si>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</si>
  <si>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</si>
  <si>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</si>
  <si>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</si>
  <si>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</si>
  <si>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</si>
  <si>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</si>
  <si>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</si>
  <si>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</si>
  <si>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</si>
  <si>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</si>
  <si>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</si>
  <si>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</si>
  <si>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</si>
  <si>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</si>
  <si>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</si>
  <si>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</si>
  <si>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</si>
  <si>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</si>
  <si>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</si>
  <si>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</si>
  <si>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</si>
  <si>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</si>
  <si>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</si>
  <si>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</si>
  <si>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</si>
  <si>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</si>
  <si>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</si>
  <si>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</si>
  <si>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</si>
  <si>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</si>
  <si>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</si>
  <si>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</si>
  <si>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</si>
  <si>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</si>
  <si>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</si>
  <si>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</si>
  <si>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</si>
  <si>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</si>
  <si>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</si>
  <si>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</si>
  <si>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</si>
  <si>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</si>
  <si>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</si>
  <si>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</si>
  <si>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</si>
  <si>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</si>
  <si>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</si>
  <si>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</si>
  <si>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</si>
  <si>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</si>
  <si>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</si>
  <si>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</si>
  <si>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</si>
  <si>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</si>
  <si>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</si>
  <si>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</si>
  <si>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</si>
  <si>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</si>
  <si>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</si>
  <si>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</si>
  <si>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</si>
  <si>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</si>
  <si>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</si>
  <si>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</si>
  <si>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</si>
  <si>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</si>
  <si>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</si>
  <si>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</si>
  <si>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</si>
  <si>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</si>
  <si>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</si>
  <si>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</si>
  <si>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</si>
  <si>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</si>
  <si>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</si>
  <si>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</si>
  <si>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</si>
  <si>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</si>
  <si>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</si>
  <si>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</si>
  <si>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</si>
  <si>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</si>
  <si>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</si>
  <si>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</si>
  <si>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</si>
  <si>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</si>
  <si>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</si>
  <si>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</si>
  <si>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</si>
  <si>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</si>
  <si>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</si>
  <si>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</si>
  <si>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</si>
  <si>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</si>
  <si>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</si>
  <si>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</si>
  <si>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</si>
  <si>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</si>
  <si>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</si>
  <si>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</si>
  <si>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</si>
  <si>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</si>
  <si>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</si>
  <si>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</si>
  <si>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</si>
  <si>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</si>
  <si>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</si>
  <si>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</si>
  <si>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</si>
  <si>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</si>
  <si>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</si>
  <si>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</si>
  <si>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</si>
  <si>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</si>
  <si>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</si>
  <si>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</si>
  <si>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</si>
  <si>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</si>
  <si>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</si>
  <si>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</si>
  <si>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</si>
  <si>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</si>
  <si>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</si>
  <si>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</si>
  <si>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</si>
  <si>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</si>
  <si>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</si>
  <si>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</si>
  <si>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</si>
  <si>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</si>
  <si>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</si>
  <si>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</si>
  <si>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</si>
  <si>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</si>
  <si>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</si>
  <si>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</si>
  <si>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</si>
  <si>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</si>
  <si>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</si>
  <si>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</si>
  <si>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</si>
  <si>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</si>
  <si>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</si>
  <si>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</si>
  <si>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</si>
  <si>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</si>
  <si>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</si>
  <si>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</si>
  <si>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</si>
  <si>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</si>
  <si>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</si>
  <si>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</si>
  <si>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</si>
  <si>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</si>
  <si>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</si>
  <si>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</si>
  <si>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</si>
  <si>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</si>
  <si>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</si>
  <si>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</si>
  <si>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</si>
  <si>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</si>
  <si>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</si>
  <si>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</si>
  <si>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</si>
  <si>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</si>
  <si>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</si>
  <si>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</si>
  <si>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</si>
  <si>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</si>
  <si>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</si>
  <si>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</si>
  <si>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</si>
  <si>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</si>
  <si>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</si>
  <si>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</si>
  <si>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</si>
  <si>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</si>
  <si>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</si>
  <si>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</si>
  <si>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</si>
  <si>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</si>
  <si>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</si>
  <si>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</si>
  <si>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</si>
  <si>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</si>
  <si>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</si>
  <si>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</si>
  <si>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</si>
  <si>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</si>
  <si>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</si>
  <si>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</si>
  <si>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</si>
  <si>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</si>
  <si>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</si>
  <si>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</si>
  <si>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</si>
  <si>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</si>
  <si>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</si>
  <si>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</si>
  <si>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</si>
  <si>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</si>
  <si>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</si>
  <si>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</si>
  <si>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</si>
  <si>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</si>
  <si>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</si>
  <si>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</si>
  <si>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</si>
  <si>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</si>
  <si>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</si>
  <si>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</si>
  <si>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</si>
  <si>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</si>
  <si>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</si>
  <si>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</si>
  <si>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</si>
  <si>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</si>
  <si>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</si>
  <si>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</si>
  <si>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</si>
  <si>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</si>
  <si>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</si>
  <si>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</si>
  <si>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</si>
  <si>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</si>
  <si>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</si>
  <si>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</si>
  <si>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</si>
  <si>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</si>
  <si>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</si>
  <si>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</si>
  <si>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</si>
  <si>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</si>
  <si>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</si>
  <si>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</si>
  <si>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</si>
  <si>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</si>
  <si>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</si>
  <si>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</si>
  <si>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</si>
  <si>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</si>
  <si>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</si>
  <si>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</si>
  <si>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</si>
  <si>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</si>
  <si>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</si>
  <si>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</si>
  <si>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</si>
  <si>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</si>
  <si>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</si>
  <si>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</si>
  <si>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</si>
  <si>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</si>
  <si>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</si>
  <si>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</si>
  <si>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</si>
  <si>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</si>
  <si>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</si>
  <si>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</si>
  <si>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</si>
  <si>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</si>
  <si>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</si>
  <si>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</si>
  <si>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</si>
  <si>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</si>
  <si>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</si>
  <si>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</si>
  <si>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</si>
  <si>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</si>
  <si>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</si>
  <si>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</si>
  <si>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</si>
  <si>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</si>
  <si>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</si>
  <si>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</si>
  <si>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</si>
  <si>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</si>
  <si>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</si>
  <si>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</si>
  <si>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</si>
  <si>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</si>
  <si>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</si>
  <si>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</si>
  <si>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</si>
  <si>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</si>
  <si>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</si>
  <si>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</si>
  <si>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</si>
  <si>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</si>
  <si>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</si>
  <si>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</si>
  <si>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</si>
  <si>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</si>
  <si>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</si>
  <si>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</si>
  <si>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</si>
  <si>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</si>
  <si>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</si>
  <si>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</si>
  <si>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</si>
  <si>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</si>
  <si>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</si>
  <si>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</si>
  <si>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</si>
  <si>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</si>
  <si>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</si>
  <si>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</si>
  <si>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</si>
  <si>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</si>
  <si>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</si>
  <si>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</si>
  <si>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</si>
  <si>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</si>
  <si>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</si>
  <si>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</si>
  <si>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</si>
  <si>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</si>
  <si>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</si>
  <si>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</si>
  <si>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</si>
  <si>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</si>
  <si>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</si>
  <si>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</si>
  <si>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</si>
  <si>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</si>
  <si>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</si>
  <si>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</si>
  <si>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</si>
  <si>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</si>
  <si>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</si>
  <si>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</si>
  <si>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</si>
  <si>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</si>
  <si>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</si>
  <si>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</si>
  <si>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</si>
  <si>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</si>
  <si>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</si>
  <si>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</si>
  <si>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</si>
  <si>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</si>
  <si>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</si>
  <si>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</si>
  <si>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</si>
  <si>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</si>
  <si>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</si>
  <si>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</si>
  <si>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</si>
  <si>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</si>
  <si>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</si>
  <si>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</si>
  <si>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</si>
  <si>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</si>
  <si>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</si>
  <si>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</si>
  <si>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</si>
  <si>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</si>
  <si>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</si>
  <si>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</si>
  <si>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</si>
  <si>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</si>
  <si>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</si>
  <si>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</si>
  <si>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</si>
  <si>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</si>
  <si>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</si>
  <si>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</si>
  <si>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</si>
  <si>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</si>
  <si>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</si>
  <si>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</si>
  <si>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</si>
  <si>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</si>
  <si>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</si>
  <si>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</si>
  <si>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</si>
  <si>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</si>
  <si>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</si>
  <si>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</si>
  <si>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</si>
  <si>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</si>
  <si>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</si>
  <si>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</si>
  <si>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</si>
  <si>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</si>
  <si>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</si>
  <si>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</si>
  <si>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</si>
  <si>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</si>
  <si>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</si>
  <si>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</si>
  <si>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</si>
  <si>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</si>
  <si>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</si>
  <si>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</si>
  <si>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</si>
  <si>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</si>
  <si>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</si>
  <si>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</si>
  <si>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</si>
  <si>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</si>
  <si>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</si>
  <si>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</si>
  <si>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</si>
  <si>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</si>
  <si>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</si>
  <si>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</si>
  <si>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</si>
  <si>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</si>
  <si>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</si>
  <si>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</si>
  <si>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</si>
  <si>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</si>
  <si>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</si>
  <si>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</si>
  <si>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</si>
  <si>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</si>
  <si>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</si>
  <si>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</si>
  <si>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</si>
  <si>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</si>
  <si>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</si>
  <si>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</si>
  <si>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</si>
  <si>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</si>
  <si>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</si>
  <si>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</si>
  <si>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</si>
  <si>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</si>
  <si>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</si>
  <si>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</si>
  <si>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</si>
  <si>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</si>
  <si>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</si>
  <si>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</si>
  <si>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</si>
  <si>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</si>
  <si>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</si>
  <si>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</si>
  <si>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</si>
  <si>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</si>
  <si>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</si>
  <si>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</si>
  <si>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</si>
  <si>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</si>
  <si>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</si>
  <si>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</si>
  <si>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</si>
  <si>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</si>
  <si>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</si>
  <si>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</si>
  <si>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</si>
  <si>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</si>
  <si>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</si>
  <si>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</si>
  <si>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</si>
  <si>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</si>
  <si>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</si>
  <si>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</si>
  <si>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</si>
  <si>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</si>
  <si>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</si>
  <si>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</si>
  <si>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</si>
  <si>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</si>
  <si>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</si>
  <si>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</si>
  <si>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</si>
  <si>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</si>
  <si>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</si>
  <si>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</si>
  <si>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</si>
  <si>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</si>
  <si>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</si>
  <si>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</si>
  <si>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</si>
  <si>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</si>
  <si>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</si>
  <si>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</si>
  <si>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</si>
  <si>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</si>
  <si>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</si>
  <si>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</si>
  <si>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</si>
  <si>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</si>
  <si>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</si>
  <si>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</si>
  <si>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</si>
  <si>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</si>
  <si>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</si>
  <si>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</si>
  <si>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</si>
  <si>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</si>
  <si>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</si>
  <si>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</si>
  <si>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</si>
  <si>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</si>
  <si>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</si>
  <si>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</si>
  <si>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</si>
  <si>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</si>
  <si>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</si>
  <si>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</si>
  <si>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</si>
  <si>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</si>
  <si>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</si>
  <si>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</si>
  <si>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</si>
  <si>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</si>
  <si>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</si>
  <si>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</si>
  <si>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</si>
  <si>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</si>
  <si>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</si>
  <si>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</si>
  <si>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</si>
  <si>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</si>
  <si>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</si>
  <si>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</si>
  <si>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</si>
  <si>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</si>
  <si>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</si>
  <si>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</si>
  <si>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</si>
  <si>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</si>
  <si>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</si>
  <si>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</si>
  <si>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</si>
  <si>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</si>
  <si>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</si>
  <si>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</si>
  <si>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</si>
  <si>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</si>
  <si>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</si>
  <si>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</si>
  <si>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</si>
  <si>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</si>
  <si>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</si>
  <si>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</si>
  <si>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</si>
  <si>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</si>
  <si>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</si>
  <si>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</si>
  <si>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</si>
  <si>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</si>
  <si>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</si>
  <si>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</si>
  <si>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</si>
  <si>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</si>
  <si>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</si>
  <si>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</si>
  <si>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</si>
  <si>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</si>
  <si>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</si>
  <si>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</si>
  <si>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</si>
  <si>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</si>
  <si>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</si>
  <si>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</si>
  <si>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</si>
  <si>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</si>
  <si>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</si>
  <si>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</si>
  <si>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</si>
  <si>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</si>
  <si>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</si>
  <si>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</si>
  <si>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</si>
  <si>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</si>
  <si>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</si>
  <si>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</si>
  <si>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</si>
  <si>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</si>
  <si>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</si>
  <si>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</si>
  <si>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</si>
  <si>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</si>
  <si>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</si>
  <si>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</si>
  <si>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</si>
  <si>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</si>
  <si>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</si>
  <si>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</si>
  <si>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</si>
  <si>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</si>
  <si>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</si>
  <si>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</si>
  <si>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</si>
  <si>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</si>
  <si>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</si>
  <si>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</si>
  <si>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</si>
  <si>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</si>
  <si>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</si>
  <si>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</si>
  <si>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</si>
  <si>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</si>
  <si>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</si>
  <si>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</si>
  <si>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</si>
  <si>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</si>
  <si>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</si>
  <si>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</si>
  <si>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</si>
  <si>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</si>
  <si>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</si>
  <si>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</si>
  <si>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</si>
  <si>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</si>
  <si>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</si>
  <si>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</si>
  <si>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</si>
  <si>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</si>
  <si>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</si>
  <si>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</si>
  <si>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</si>
  <si>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</si>
  <si>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</si>
  <si>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</si>
  <si>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</si>
  <si>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</si>
  <si>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</si>
  <si>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</si>
  <si>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</si>
  <si>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</si>
  <si>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</si>
  <si>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</si>
  <si>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</si>
  <si>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</si>
  <si>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</si>
  <si>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</si>
  <si>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</si>
  <si>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</si>
  <si>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</si>
  <si>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</si>
  <si>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</si>
  <si>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</si>
  <si>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</si>
  <si>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</si>
  <si>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</si>
  <si>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</si>
  <si>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</si>
  <si>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</si>
  <si>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</si>
  <si>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</si>
  <si>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</si>
  <si>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</si>
  <si>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</si>
  <si>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</si>
  <si>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</si>
  <si>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</si>
  <si>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</si>
  <si>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</si>
  <si>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</si>
  <si>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</si>
  <si>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</si>
  <si>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</si>
  <si>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</si>
  <si>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</si>
  <si>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</si>
  <si>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</si>
  <si>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</si>
  <si>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</si>
  <si>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</si>
  <si>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</si>
  <si>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</si>
  <si>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</si>
  <si>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</si>
  <si>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</si>
  <si>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</si>
  <si>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</si>
  <si>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</si>
  <si>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</si>
  <si>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</si>
  <si>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</si>
  <si>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</si>
  <si>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</si>
  <si>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</si>
  <si>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</si>
  <si>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</si>
  <si>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</si>
  <si>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</si>
  <si>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</si>
  <si>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</si>
  <si>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</si>
  <si>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</si>
  <si>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</si>
  <si>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</si>
  <si>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</si>
  <si>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</si>
  <si>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</si>
  <si>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</si>
  <si>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</si>
  <si>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</si>
  <si>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</si>
  <si>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</si>
  <si>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</si>
  <si>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</si>
  <si>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</si>
  <si>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</si>
  <si>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</si>
  <si>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</si>
  <si>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</si>
  <si>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</si>
  <si>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</si>
  <si>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</si>
  <si>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</si>
  <si>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</si>
  <si>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</si>
  <si>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</si>
  <si>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</si>
  <si>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</si>
  <si>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</si>
  <si>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</si>
  <si>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</si>
  <si>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</si>
  <si>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</si>
  <si>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</si>
  <si>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</si>
  <si>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</si>
  <si>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</si>
  <si>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</si>
  <si>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</si>
  <si>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</si>
  <si>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</si>
  <si>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</si>
  <si>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</si>
  <si>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</si>
  <si>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</si>
  <si>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</si>
  <si>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</si>
  <si>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</si>
  <si>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</si>
  <si>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</si>
  <si>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</si>
  <si>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</si>
  <si>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</si>
  <si>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</si>
  <si>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</si>
  <si>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</si>
  <si>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</si>
  <si>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</si>
  <si>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</si>
  <si>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</si>
  <si>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</si>
  <si>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</si>
  <si>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</si>
  <si>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</si>
  <si>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</si>
  <si>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</si>
  <si>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</si>
  <si>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</si>
  <si>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</si>
  <si>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</si>
  <si>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</si>
  <si>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</si>
  <si>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</si>
  <si>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</si>
  <si>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</si>
  <si>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</si>
  <si>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</si>
  <si>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</si>
  <si>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</si>
  <si>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</si>
  <si>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</si>
  <si>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</si>
  <si>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</si>
  <si>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</si>
  <si>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</si>
  <si>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</si>
  <si>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</si>
  <si>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</si>
  <si>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</si>
  <si>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</si>
  <si>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</si>
  <si>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</si>
  <si>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</si>
  <si>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</si>
  <si>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</si>
  <si>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</si>
  <si>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</si>
  <si>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</si>
  <si>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</si>
  <si>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</si>
  <si>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</si>
  <si>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</si>
  <si>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</si>
  <si>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</si>
  <si>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</si>
  <si>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</si>
  <si>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</si>
  <si>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</si>
  <si>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</si>
  <si>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</si>
  <si>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</si>
  <si>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</si>
  <si>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</si>
  <si>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</si>
  <si>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</si>
  <si>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</si>
  <si>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</si>
  <si>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</si>
  <si>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</si>
  <si>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</si>
  <si>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</si>
  <si>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</si>
  <si>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</si>
  <si>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</si>
  <si>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</si>
  <si>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</si>
  <si>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</si>
  <si>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</si>
  <si>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</si>
  <si>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</si>
  <si>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</si>
  <si>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</si>
  <si>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</si>
  <si>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</si>
  <si>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</si>
  <si>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</si>
  <si>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</si>
  <si>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</si>
  <si>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</si>
  <si>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</si>
  <si>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</si>
  <si>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</si>
  <si>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</si>
  <si>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</si>
  <si>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</si>
  <si>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</si>
  <si>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</si>
  <si>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</si>
  <si>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</si>
  <si>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</si>
  <si>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</si>
  <si>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</si>
  <si>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</si>
  <si>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</si>
  <si>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</si>
  <si>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</si>
  <si>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</si>
  <si>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</si>
  <si>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</si>
  <si>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</si>
  <si>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</si>
  <si>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</si>
  <si>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</si>
  <si>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</si>
  <si>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</si>
  <si>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</si>
  <si>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</si>
  <si>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</si>
  <si>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</si>
  <si>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</si>
  <si>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</si>
  <si>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</si>
  <si>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</si>
  <si>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</si>
  <si>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</si>
  <si>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</si>
  <si>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</si>
  <si>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</si>
  <si>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</si>
  <si>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</si>
  <si>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</si>
  <si>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</si>
  <si>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</si>
  <si>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</si>
  <si>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</si>
  <si>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</si>
  <si>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</si>
  <si>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</si>
  <si>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</si>
  <si>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</si>
  <si>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</si>
  <si>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</si>
  <si>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</si>
  <si>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</si>
  <si>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</si>
  <si>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</si>
  <si>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</si>
  <si>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</si>
  <si>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</si>
  <si>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</si>
  <si>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</si>
  <si>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</si>
  <si>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</si>
  <si>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</si>
  <si>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</si>
  <si>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</si>
  <si>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</si>
  <si>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</si>
  <si>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</si>
  <si>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</si>
  <si>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</si>
  <si>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</si>
  <si>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</si>
  <si>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</si>
  <si>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</si>
  <si>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</si>
  <si>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</si>
  <si>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</si>
  <si>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</si>
  <si>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</si>
  <si>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</si>
  <si>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</si>
  <si>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</si>
  <si>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</si>
  <si>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</si>
  <si>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</si>
  <si>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</si>
  <si>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</si>
  <si>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</si>
  <si>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</si>
  <si>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</si>
  <si>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</si>
  <si>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</si>
  <si>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</si>
  <si>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</si>
  <si>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</si>
  <si>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</si>
  <si>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</si>
  <si>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</si>
  <si>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</si>
  <si>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</si>
  <si>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</si>
  <si>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</si>
  <si>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</si>
  <si>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</si>
  <si>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</si>
  <si>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</si>
  <si>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</si>
  <si>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</si>
  <si>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</si>
  <si>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</si>
  <si>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</si>
  <si>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</si>
  <si>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</si>
  <si>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</si>
  <si>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</si>
  <si>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</si>
  <si>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</si>
  <si>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</si>
  <si>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</si>
  <si>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</si>
  <si>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</si>
  <si>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</si>
  <si>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</si>
  <si>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</si>
  <si>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</si>
  <si>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</si>
  <si>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</si>
  <si>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</si>
  <si>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</si>
  <si>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</si>
  <si>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</si>
  <si>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</si>
  <si>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</si>
  <si>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</si>
  <si>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</si>
  <si>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</si>
  <si>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</si>
  <si>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</si>
  <si>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</si>
  <si>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</si>
  <si>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</si>
  <si>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</si>
  <si>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</si>
  <si>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</si>
  <si>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</si>
  <si>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</si>
  <si>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</si>
  <si>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</si>
  <si>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</si>
  <si>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</si>
  <si>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</si>
  <si>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</si>
  <si>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</si>
  <si>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</si>
  <si>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</si>
  <si>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</si>
  <si>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</si>
  <si>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</si>
  <si>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</si>
  <si>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</si>
  <si>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</si>
  <si>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</si>
  <si>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</si>
  <si>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</si>
  <si>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</si>
  <si>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</si>
  <si>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</si>
  <si>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</si>
  <si>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</si>
  <si>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</si>
  <si>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</si>
  <si>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</si>
  <si>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</si>
  <si>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</si>
  <si>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</si>
  <si>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</si>
  <si>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</si>
  <si>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</si>
  <si>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</si>
  <si>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</si>
  <si>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</si>
  <si>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</si>
  <si>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</si>
  <si>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</si>
  <si>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</si>
  <si>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</si>
  <si>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</si>
  <si>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</si>
  <si>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</si>
  <si>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</si>
  <si>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</si>
  <si>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</si>
  <si>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</si>
  <si>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</si>
  <si>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</si>
  <si>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</si>
  <si>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</si>
  <si>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</si>
  <si>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</si>
  <si>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</si>
  <si>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</si>
  <si>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</si>
  <si>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</si>
  <si>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</si>
  <si>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</si>
  <si>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</si>
  <si>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</si>
  <si>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</si>
  <si>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</si>
  <si>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</si>
  <si>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</si>
  <si>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</si>
  <si>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</si>
  <si>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</si>
  <si>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</si>
  <si>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</si>
  <si>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</si>
  <si>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</si>
  <si>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</si>
  <si>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</si>
  <si>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</si>
  <si>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</si>
  <si>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</si>
  <si>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</si>
  <si>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</si>
  <si>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</si>
  <si>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</si>
  <si>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</si>
  <si>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</si>
  <si>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</si>
  <si>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</si>
  <si>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</si>
  <si>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</si>
  <si>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</si>
  <si>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</si>
  <si>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</si>
  <si>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</si>
  <si>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</si>
  <si>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</si>
  <si>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</si>
  <si>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</si>
  <si>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</si>
  <si>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</si>
  <si>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</si>
  <si>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</si>
  <si>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</si>
  <si>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</si>
  <si>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</si>
  <si>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</si>
  <si>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</si>
  <si>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</si>
  <si>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</si>
  <si>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</si>
  <si>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</si>
  <si>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</si>
  <si>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</si>
  <si>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</si>
  <si>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</si>
  <si>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</si>
  <si>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</si>
  <si>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</si>
  <si>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</si>
  <si>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</si>
  <si>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</si>
  <si>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</si>
  <si>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</si>
  <si>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</si>
  <si>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</si>
  <si>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</si>
  <si>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</si>
  <si>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</si>
  <si>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</si>
  <si>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</si>
  <si>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</si>
  <si>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</si>
  <si>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</si>
  <si>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</si>
  <si>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</si>
  <si>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</si>
  <si>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</si>
  <si>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</si>
  <si>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</si>
  <si>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</si>
  <si>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</si>
  <si>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</si>
  <si>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</si>
  <si>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</si>
  <si>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</si>
  <si>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</si>
  <si>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</si>
  <si>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</si>
  <si>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</si>
  <si>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</si>
  <si>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</si>
  <si>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</si>
  <si>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</si>
  <si>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</si>
  <si>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</si>
  <si>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</si>
  <si>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</si>
  <si>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</si>
  <si>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</si>
  <si>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</si>
  <si>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</si>
  <si>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</si>
  <si>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</si>
  <si>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</si>
  <si>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</si>
  <si>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</si>
  <si>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</si>
  <si>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</si>
  <si>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</si>
  <si>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</si>
  <si>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</si>
  <si>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</si>
  <si>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</si>
  <si>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</si>
  <si>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</si>
  <si>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</si>
  <si>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</si>
  <si>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</si>
  <si>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</si>
  <si>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</si>
  <si>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</si>
  <si>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</si>
  <si>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</si>
  <si>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</si>
  <si>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</si>
  <si>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</si>
  <si>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</si>
  <si>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</si>
  <si>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</si>
  <si>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</si>
  <si>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</si>
  <si>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</si>
  <si>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</si>
  <si>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</si>
  <si>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</si>
  <si>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</si>
  <si>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</si>
  <si>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</si>
  <si>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</si>
  <si>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</si>
  <si>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</si>
  <si>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</si>
  <si>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</si>
  <si>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</si>
  <si>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</si>
  <si>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</si>
  <si>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</si>
  <si>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</si>
  <si>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</si>
  <si>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</si>
  <si>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</si>
  <si>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</si>
  <si>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</si>
  <si>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</si>
  <si>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</si>
  <si>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</si>
  <si>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</si>
  <si>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</si>
  <si>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</si>
  <si>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</si>
  <si>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</si>
  <si>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</si>
  <si>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</si>
  <si>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</si>
  <si>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</si>
  <si>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</si>
  <si>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</si>
  <si>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</si>
  <si>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</si>
  <si>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</si>
  <si>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</si>
  <si>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</si>
  <si>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</si>
  <si>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</si>
  <si>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</si>
  <si>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</si>
  <si>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</si>
  <si>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</si>
  <si>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</si>
  <si>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</si>
  <si>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</si>
  <si>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</si>
  <si>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</si>
  <si>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</si>
  <si>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</si>
  <si>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</si>
  <si>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</si>
  <si>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</si>
  <si>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</si>
  <si>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</si>
  <si>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</si>
  <si>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</si>
  <si>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</si>
  <si>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</si>
  <si>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</si>
  <si>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</si>
  <si>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</si>
  <si>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</si>
  <si>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</si>
  <si>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</si>
  <si>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</si>
  <si>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r>
      <rPr>
        <sz val="12"/>
        <rFont val="宋体"/>
        <family val="3"/>
        <charset val="134"/>
      </rPr>
      <t>江苏省昆山市锦溪镇锦东路</t>
    </r>
    <r>
      <rPr>
        <sz val="12"/>
        <rFont val="Cambria"/>
        <family val="1"/>
      </rPr>
      <t>555</t>
    </r>
    <r>
      <rPr>
        <sz val="12"/>
        <rFont val="宋体"/>
        <family val="3"/>
        <charset val="134"/>
      </rPr>
      <t>号</t>
    </r>
    <phoneticPr fontId="99" type="noConversion"/>
  </si>
  <si>
    <t>敖苏娟</t>
    <phoneticPr fontId="99" type="noConversion"/>
  </si>
  <si>
    <t>karol.ao@drapho.com</t>
    <phoneticPr fontId="99" type="noConversion"/>
  </si>
  <si>
    <t>0512-36805164</t>
    <phoneticPr fontId="99" type="noConversion"/>
  </si>
  <si>
    <t>方志宏</t>
    <phoneticPr fontId="99" type="noConversion"/>
  </si>
  <si>
    <t>品质总监</t>
    <phoneticPr fontId="99" type="noConversion"/>
  </si>
  <si>
    <t>fan.fang@drapho.com</t>
    <phoneticPr fontId="99" type="noConversion"/>
  </si>
  <si>
    <t>昆山德朋电子科技有限公司</t>
    <phoneticPr fontId="99" type="noConversion"/>
  </si>
  <si>
    <t>http://www.drapho.com/Index/casedetail/id/1091.html</t>
    <phoneticPr fontId="99" type="noConversion"/>
  </si>
  <si>
    <t>CID001153</t>
    <phoneticPr fontId="99" type="noConversion"/>
  </si>
  <si>
    <t>CID002773</t>
    <phoneticPr fontId="99" type="noConversion"/>
  </si>
  <si>
    <t>CID001191</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</si>
</sst>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2">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sz val="9"/>
      <name val="宋体"/>
      <family val="3"/>
      <charset val="134"/>
    </font>
    <font>
      <sz val="12"/>
      <name val="宋体"/>
      <family val="3"/>
      <charset val="134"/>
    </font>
    <font>
      <sz val="10"/>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00" fillId="33" borderId="61" xfId="0" applyNumberFormat="1" applyFont="1" applyFill="1" applyBorder="1" applyAlignment="1" applyProtection="1">
      <alignment horizontal="left" vertical="center" wrapText="1"/>
      <protection locked="0"/>
    </xf>
    <xf numFmtId="0" fontId="101" fillId="0" borderId="61" xfId="0" applyFont="1" applyBorder="1" applyAlignment="1" applyProtection="1">
      <alignment horizontal="left" wrapText="1"/>
      <protection locked="0"/>
    </xf>
    <xf numFmtId="49" fontId="100" fillId="33" borderId="34" xfId="0" applyNumberFormat="1"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15">
    <dxf>
      <fill>
        <patternFill patternType="solid">
          <bgColor rgb="FFFF0000"/>
        </patternFill>
      </fill>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ont>
        <color indexed="10"/>
      </font>
    </dxf>
    <dxf>
      <font>
        <color indexed="1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rol.ao@draph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rapho.com/Index/casedetail/id/1091.html" TargetMode="External"/><Relationship Id="rId4" Type="http://schemas.openxmlformats.org/officeDocument/2006/relationships/hyperlink" Target="mailto:fan.fang@draph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Initiative。保留所有权利。</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网址：(www.responsiblemineralsinitiative.org) 培训和指导、模板、负责任矿物审验流程合规冶炼厂列表。</v>
      </c>
      <c r="B1" s="111" t="s">
        <v>442</v>
      </c>
    </row>
    <row r="2" spans="1:2" ht="30">
      <c r="A2" s="118" t="str">
        <f ca="1">OFFSET(L!$C$1,MATCH("Instructions"&amp;ADDRESS(ROW(),COLUMN(),4),L!$A:$A,0)-1,SL,,)</f>
        <v>介绍</v>
      </c>
      <c r="B2" s="111" t="s">
        <v>1304</v>
      </c>
    </row>
    <row r="3" spans="1:2" ht="150">
      <c r="A3" s="115"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11" t="s">
        <v>1305</v>
      </c>
    </row>
    <row r="4" spans="1:2" ht="222.6" customHeight="1">
      <c r="A4" s="115"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11" t="s">
        <v>1311</v>
      </c>
    </row>
    <row r="5" spans="1:2" ht="15">
      <c r="A5" s="119"/>
      <c r="B5" s="111"/>
    </row>
    <row r="6" spans="1:2" ht="30">
      <c r="A6" s="118" t="str">
        <f ca="1">OFFSET(L!$C$1,MATCH("Instructions"&amp;ADDRESS(ROW(),COLUMN(),4),L!$A:$A,0)-1,SL,,)</f>
        <v>公司信息的填写说明（第 8 至 22 行）。_x000D_
请仅以英文作答</v>
      </c>
      <c r="B6" s="111" t="s">
        <v>1304</v>
      </c>
    </row>
    <row r="7" spans="1:2" ht="15">
      <c r="A7" s="281" t="str">
        <f ca="1">OFFSET(L!$C$1,MATCH("Instructions"&amp;ADDRESS(ROW(),COLUMN(),4),L!$A:$A,0)-1,SL,,)</f>
        <v>注：带星号 (*) 的字段为必填。</v>
      </c>
      <c r="B7" s="111"/>
    </row>
    <row r="8" spans="1:2" ht="30">
      <c r="A8" s="115" t="str">
        <f ca="1">OFFSET(L!$C$1,MATCH("Instructions"&amp;ADDRESS(ROW(),COLUMN(),4),L!$A:$A,0)-1,SL,,)</f>
        <v>1. 插入贵公司的法定名称。请勿使用缩写。在此字段中，您可以选择添加其他商业名称、营业名称等。</v>
      </c>
      <c r="B8" s="111"/>
    </row>
    <row r="9" spans="1:2" ht="405.6" customHeight="1">
      <c r="A9" s="168"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11" t="s">
        <v>1303</v>
      </c>
    </row>
    <row r="10" spans="1:2" ht="36" customHeight="1">
      <c r="A10" s="115" t="str">
        <f ca="1">OFFSET(L!$C$1,MATCH("Instructions"&amp;ADDRESS(ROW(),COLUMN(),4),L!$A:$A,0)-1,SL,,)</f>
        <v>3. 插入贵公司的唯一识别序号或编号（DUNS 号码、VAT 号码、客户特定识别码等）</v>
      </c>
      <c r="B10" s="111"/>
    </row>
    <row r="11" spans="1:2" ht="35.25" customHeight="1">
      <c r="A11" s="115" t="str">
        <f ca="1">OFFSET(L!$C$1,MATCH("Instructions"&amp;ADDRESS(ROW(),COLUMN(),4),L!$A:$A,0)-1,SL,,)</f>
        <v>4. 插入唯一识别序号或代码出处（例如“DUNS”、“VAT”、“客户”等）</v>
      </c>
      <c r="B11" s="111"/>
    </row>
    <row r="12" spans="1:2" ht="30">
      <c r="A12" s="115" t="str">
        <f ca="1">OFFSET(L!$C$1,MATCH("Instructions"&amp;ADDRESS(ROW(),COLUMN(),4),L!$A:$A,0)-1,SL,,)</f>
        <v>5. 插入贵公司的完整地址（街道、城市、州、国家或地区、邮政编码）。此为必填字段。</v>
      </c>
      <c r="B12" s="111" t="s">
        <v>1304</v>
      </c>
    </row>
    <row r="13" spans="1:2" ht="33.75" customHeight="1">
      <c r="A13" s="115" t="str">
        <f ca="1">OFFSET(L!$C$1,MATCH("Instructions"&amp;ADDRESS(ROW(),COLUMN(),4),L!$A:$A,0)-1,SL,,)</f>
        <v>6. 插入对此申报信息内容负责的联系人姓名。此为必填字段。</v>
      </c>
      <c r="B13" s="111"/>
    </row>
    <row r="14" spans="1:2" ht="30">
      <c r="A14" s="115" t="str">
        <f ca="1">OFFSET(L!$C$1,MATCH("Instructions"&amp;ADDRESS(ROW(),COLUMN(),4),L!$A:$A,0)-1,SL,,)</f>
        <v>7. 插入联系人的电子邮件地址。如果没有电子邮件地址，请说明“无”或“不适用”。如留空此字段，会导致此表格出错。此为必填字段。</v>
      </c>
      <c r="B14" s="111"/>
    </row>
    <row r="15" spans="1:2" ht="25.5" customHeight="1">
      <c r="A15" s="115" t="str">
        <f ca="1">OFFSET(L!$C$1,MATCH("Instructions"&amp;ADDRESS(ROW(),COLUMN(),4),L!$A:$A,0)-1,SL,,)</f>
        <v>8. 插入联系人的电话号码。此为必填字段。</v>
      </c>
      <c r="B15" s="111"/>
    </row>
    <row r="16" spans="1:2" ht="45">
      <c r="A16" s="115" t="str">
        <f ca="1">OFFSET(L!$C$1,MATCH("Instructions"&amp;ADDRESS(ROW(),COLUMN(),4),L!$A:$A,0)-1,SL,,)</f>
        <v xml:space="preserve">9. 插入负责申报信息内容的人员姓名。授权人可能与联系人不同。请勿填写“相同”或相似信息，而需提供授权人的姓名。此为必填字段。 </v>
      </c>
      <c r="B16" s="111"/>
    </row>
    <row r="17" spans="1:2" ht="15">
      <c r="A17" s="115" t="str">
        <f ca="1">OFFSET(L!$C$1,MATCH("Instructions"&amp;ADDRESS(ROW(),COLUMN(),4),L!$A:$A,0)-1,SL,,)</f>
        <v>10. 输入授权人的职位。 此为选填字段。</v>
      </c>
      <c r="B17" s="111"/>
    </row>
    <row r="18" spans="1:2" ht="30">
      <c r="A18" s="115" t="str">
        <f ca="1">OFFSET(L!$C$1,MATCH("Instructions"&amp;ADDRESS(ROW(),COLUMN(),4),L!$A:$A,0)-1,SL,,)</f>
        <v>11.  输入授权人的电子邮件地址。如果没有电子邮件地址，请声明“无”或“不适用”。如留空此字段，会导致表格出错。此为必填字段。</v>
      </c>
      <c r="B18" s="111"/>
    </row>
    <row r="19" spans="1:2" ht="15">
      <c r="A19" s="115" t="str">
        <f ca="1">OFFSET(L!$C$1,MATCH("Instructions"&amp;ADDRESS(ROW(),COLUMN(),4),L!$A:$A,0)-1,SL,,)</f>
        <v>12. 插入授权人的电话号码。此字段自由选择填写。</v>
      </c>
      <c r="B19" s="111"/>
    </row>
    <row r="20" spans="1:2" ht="33.75" customHeight="1">
      <c r="A20" s="115" t="str">
        <f ca="1">OFFSET(L!$C$1,MATCH("Instructions"&amp;ADDRESS(ROW(),COLUMN(),4),L!$A:$A,0)-1,SL,,)</f>
        <v>13. 请使用“日-月-年”的格式输入申报日期。此为必填字段。</v>
      </c>
      <c r="B20" s="111"/>
    </row>
    <row r="21" spans="1:2" ht="30">
      <c r="A21" s="115" t="str">
        <f ca="1">OFFSET(L!$C$1,MATCH("Instructions"&amp;ADDRESS(ROW(),COLUMN(),4),L!$A:$A,0)-1,SL,,)</f>
        <v>14. 例如，用户应将文件名保存为“公司名-日期.xls”（日期格式为年-月-日）。</v>
      </c>
      <c r="B21" s="111" t="s">
        <v>1304</v>
      </c>
    </row>
    <row r="22" spans="1:2" ht="15">
      <c r="A22" s="119"/>
      <c r="B22" s="111"/>
    </row>
    <row r="23" spans="1:2" ht="30">
      <c r="A23" s="118" t="str">
        <f ca="1">OFFSET(L!$C$1,MATCH("Instructions"&amp;ADDRESS(ROW(),COLUMN(),4),L!$A:$A,0)-1,SL,,)</f>
        <v>八道尽职调查问题的填写指南（第 24 至 71 行）。_x000D_
请仅以英文作答</v>
      </c>
      <c r="B23" s="111" t="s">
        <v>1304</v>
      </c>
    </row>
    <row r="24" spans="1:2" ht="80.650000000000006" customHeight="1">
      <c r="A24" s="115"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11" t="s">
        <v>1307</v>
      </c>
    </row>
    <row r="25" spans="1:2" ht="72" customHeight="1">
      <c r="A25" s="115"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11" t="s">
        <v>1304</v>
      </c>
    </row>
    <row r="26" spans="1:2" ht="280.89999999999998" customHeight="1">
      <c r="A26" s="115"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11" t="s">
        <v>1304</v>
      </c>
    </row>
    <row r="27" spans="1:2" ht="30">
      <c r="A27" s="115" t="str">
        <f ca="1">OFFSET(L!$C$1,MATCH("Instructions"&amp;ADDRESS(ROW(),COLUMN(),4),L!$A:$A,0)-1,SL,,)</f>
        <v xml:space="preserve">如果回答为“否”，某些公司需要进一步求证，请在注释栏中详细说明。 </v>
      </c>
      <c r="B27" s="111" t="s">
        <v>1304</v>
      </c>
    </row>
    <row r="28" spans="1:2" ht="247.5" customHeight="1">
      <c r="A28" s="115"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11"/>
    </row>
    <row r="29" spans="1:2" ht="157.15" customHeight="1">
      <c r="A29" s="115"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v>
      </c>
      <c r="B29" s="111" t="s">
        <v>1304</v>
      </c>
    </row>
    <row r="30" spans="1:2" ht="181.9" customHeight="1">
      <c r="A30" s="115"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v>
      </c>
      <c r="B30" s="111"/>
    </row>
    <row r="31" spans="1:2" ht="135">
      <c r="A31" s="115"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11" t="s">
        <v>1304</v>
      </c>
    </row>
    <row r="32" spans="1:2" ht="234.6" customHeight="1">
      <c r="A32" s="115"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11" t="s">
        <v>1307</v>
      </c>
    </row>
    <row r="33" spans="1:2" ht="75">
      <c r="A33" s="115"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11"/>
    </row>
    <row r="34" spans="1:2" ht="60">
      <c r="A34" s="115"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11" t="s">
        <v>1304</v>
      </c>
    </row>
    <row r="35" spans="1:2" ht="21" customHeight="1">
      <c r="A35" s="115" t="str">
        <f ca="1">OFFSET(L!$C$1,MATCH("Instructions"&amp;ADDRESS(ROW(),COLUMN(),4),L!$A:$A,0)-1,SL,,)</f>
        <v>在注释部分提供您的意见，以进一步说明您的回答。</v>
      </c>
      <c r="B35" s="111"/>
    </row>
    <row r="36" spans="1:2" ht="15">
      <c r="A36" s="119"/>
      <c r="B36" s="111"/>
    </row>
    <row r="37" spans="1:2" ht="45">
      <c r="A37" s="118" t="str">
        <f ca="1">OFFSET(L!$C$1,MATCH("Instructions"&amp;ADDRESS(ROW(),COLUMN(),4),L!$A:$A,0)-1,SL,,)</f>
        <v>完成问题 A 至 H 的说明（第 75 至 89 行）。如果问题 1 和 2 就任何金属的回答为“是”，必须回答问题 A 至 H。_x000D_
请仅以英文作答</v>
      </c>
      <c r="B37" s="111" t="s">
        <v>1304</v>
      </c>
    </row>
    <row r="38" spans="1:2" ht="135">
      <c r="A38" s="115"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11" t="s">
        <v>1306</v>
      </c>
    </row>
    <row r="39" spans="1:2" ht="60">
      <c r="A39" s="115" t="str">
        <f ca="1">OFFSET(L!$C$1,MATCH("Instructions"&amp;ADDRESS(ROW(),COLUMN(),4),L!$A:$A,0)-1,SL,,)</f>
        <v>A. 这是披露公司是否具有负责任矿产采购政策的申报。请以“是”或“否”来回答此问题。须在问题注释字段提供说明。_x000D_
_x000D_
此问题必须作答。</v>
      </c>
      <c r="B39" s="111"/>
    </row>
    <row r="40" spans="1:2" ht="65.650000000000006" customHeight="1">
      <c r="A40" s="115"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11"/>
    </row>
    <row r="41" spans="1:2" ht="75">
      <c r="A41" s="115"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11" t="s">
        <v>1309</v>
      </c>
    </row>
    <row r="42" spans="1:2" ht="180">
      <c r="A42" s="115"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11" t="s">
        <v>1307</v>
      </c>
    </row>
    <row r="43" spans="1:2" ht="150">
      <c r="A43" s="115"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11" t="s">
        <v>1308</v>
      </c>
    </row>
    <row r="44" spans="1:2" ht="135">
      <c r="A44" s="115"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11" t="s">
        <v>1304</v>
      </c>
    </row>
    <row r="45" spans="1:2" ht="120">
      <c r="A45" s="115" t="str">
        <f ca="1">OFFSET(L!$C$1,MATCH("Instructions"&amp;ADDRESS(ROW(),COLUMN(),4),L!$A:$A,0)-1,SL,,)</f>
        <v>G. 此问题是要披露公司是否受 SEC 规则规限。请以“是”或“否”来回答此问题。须在问题注释字段提供说明。此问题必须作答。要了解更多信息，请参见 www.sec.gov。</v>
      </c>
      <c r="B45" s="111" t="s">
        <v>1305</v>
      </c>
    </row>
    <row r="46" spans="1:2" ht="85.5" customHeight="1">
      <c r="A46" s="115"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11" t="s">
        <v>1304</v>
      </c>
    </row>
    <row r="47" spans="1:2" ht="15">
      <c r="A47" s="119"/>
      <c r="B47" s="111"/>
    </row>
    <row r="48" spans="1:2" ht="30">
      <c r="A48" s="118" t="str">
        <f ca="1">OFFSET(L!$C$1,MATCH("Instructions"&amp;ADDRESS(ROW(),COLUMN(),4),L!$A:$A,0)-1,SL,,)</f>
        <v>冶炼厂列表选项卡的填写说明。请仅以英文作答</v>
      </c>
      <c r="B48" s="111" t="s">
        <v>1304</v>
      </c>
    </row>
    <row r="49" spans="1:2" ht="22.5" customHeight="1">
      <c r="A49" s="281" t="str">
        <f ca="1">OFFSET(L!$C$1,MATCH("Instructions"&amp;ADDRESS(ROW(),COLUMN(),4),L!$A:$A,0)-1,SL,,)</f>
        <v>注：带星号 (*) 列表示必填字段。</v>
      </c>
      <c r="B49" s="111"/>
    </row>
    <row r="50" spans="1:2" ht="60">
      <c r="A50" s="115"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11" t="s">
        <v>1303</v>
      </c>
    </row>
    <row r="51" spans="1:2" ht="51" customHeight="1">
      <c r="A51" s="115" t="str">
        <f ca="1">OFFSET(L!$C$1,MATCH("Instructions"&amp;ADDRESS(ROW(),COLUMN(),4),L!$A:$A,0)-1,SL,,)</f>
        <v>1. 冶炼厂识别输入列 - 如果您知道冶炼厂识别号码，请在 A 列输入号码（B、C、E、F、G、I 和 J 列将自动填入）。A 列不会自动填入。</v>
      </c>
      <c r="B51" s="111" t="s">
        <v>1304</v>
      </c>
    </row>
    <row r="52" spans="1:2" ht="44.65" customHeight="1">
      <c r="A52" s="115" t="str">
        <f ca="1">OFFSET(L!$C$1,MATCH("Instructions"&amp;ADDRESS(ROW(),COLUMN(),4),L!$A:$A,0)-1,SL,,)</f>
        <v>2. 金属 (*) - 在下拉菜单中，选择正在输入信息的冶炼厂所提炼的金属。 此为必填字段。</v>
      </c>
      <c r="B52" s="111"/>
    </row>
    <row r="53" spans="1:2" ht="79.150000000000006" customHeight="1">
      <c r="A53" s="180"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11" t="s">
        <v>1304</v>
      </c>
    </row>
    <row r="54" spans="1:2" ht="60">
      <c r="A54" s="115" t="str">
        <f ca="1">OFFSET(L!$C$1,MATCH("Instructions"&amp;ADDRESS(ROW(),COLUMN(),4),L!$A:$A,0)-1,SL,,)</f>
        <v>4. 冶炼厂名称 (1) - 如果选择 C 列中的冶炼厂名称，请填写冶炼厂的名称。如果选择 C 列中的“冶炼厂未列出”，此字段将自动填入。此为必填字段。</v>
      </c>
      <c r="B54" s="111" t="s">
        <v>1303</v>
      </c>
    </row>
    <row r="55" spans="1:2" ht="75">
      <c r="A55" s="115"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11" t="s">
        <v>1309</v>
      </c>
    </row>
    <row r="56" spans="1:2" ht="60">
      <c r="A56" s="115"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11" t="s">
        <v>1303</v>
      </c>
    </row>
    <row r="57" spans="1:2" ht="60">
      <c r="A57" s="115" t="str">
        <f ca="1">OFFSET(L!$C$1,MATCH("Instructions"&amp;ADDRESS(ROW(),COLUMN(),4),L!$A:$A,0)-1,SL,,)</f>
        <v xml:space="preserve">7. 冶炼厂识别号码 - F 列包括所有的冶炼厂识别号码。 如果在 C 列中使用下拉框选择冶炼厂名称，此字段会自动填入。 </v>
      </c>
      <c r="B57" s="111" t="s">
        <v>1303</v>
      </c>
    </row>
    <row r="58" spans="1:2" ht="60">
      <c r="A58" s="115" t="str">
        <f ca="1">OFFSET(L!$C$1,MATCH("Instructions"&amp;ADDRESS(ROW(),COLUMN(),4),L!$A:$A,0)-1,SL,,)</f>
        <v>8. 冶炼厂所在街道 - 提供冶炼厂所在街道的名称。此为选填字段。</v>
      </c>
      <c r="B58" s="111" t="s">
        <v>1303</v>
      </c>
    </row>
    <row r="59" spans="1:2" ht="30">
      <c r="A59" s="115" t="str">
        <f ca="1">OFFSET(L!$C$1,MATCH("Instructions"&amp;ADDRESS(ROW(),COLUMN(),4),L!$A:$A,0)-1,SL,,)</f>
        <v>9. 冶炼厂所在城市 - 提供冶炼厂所在城市的名称。此为选填字段。</v>
      </c>
      <c r="B59" s="111" t="s">
        <v>1304</v>
      </c>
    </row>
    <row r="60" spans="1:2" ht="45" customHeight="1">
      <c r="A60" s="115" t="str">
        <f ca="1">OFFSET(L!$C$1,MATCH("Instructions"&amp;ADDRESS(ROW(),COLUMN(),4),L!$A:$A,0)-1,SL,,)</f>
        <v>10. 冶炼厂地点：州/省（如适用）- 提供冶炼厂所在的州/省。此为选填字段。</v>
      </c>
      <c r="B60" s="111" t="s">
        <v>1307</v>
      </c>
    </row>
    <row r="61" spans="1:2" ht="165">
      <c r="A61" s="115"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v>
      </c>
      <c r="B61" s="111" t="s">
        <v>1307</v>
      </c>
    </row>
    <row r="62" spans="1:2" ht="60">
      <c r="A62" s="115" t="str">
        <f ca="1">OFFSET(L!$C$1,MATCH("Instructions"&amp;ADDRESS(ROW(),COLUMN(),4),L!$A:$A,0)-1,SL,,)</f>
        <v xml:space="preserve">12. 冶炼厂联系人电子邮件 - 填写被确定为冶炼厂联系人的电子邮件。例如： John.Smith@SmelterXXX.com。填写此字段栏前，请阅读冶炼厂联系人姓名填写指引。 </v>
      </c>
      <c r="B62" s="111" t="s">
        <v>1303</v>
      </c>
    </row>
    <row r="63" spans="1:2" ht="125.45" customHeight="1">
      <c r="A63" s="115"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11" t="s">
        <v>1303</v>
      </c>
    </row>
    <row r="64" spans="1:2" ht="136.15" customHeight="1">
      <c r="A64" s="115"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11"/>
    </row>
    <row r="65" spans="1:2" ht="90">
      <c r="A65" s="115" t="str">
        <f ca="1">OFFSET(L!$C$1,MATCH("Instructions"&amp;ADDRESS(ROW(),COLUMN(),4),L!$A:$A,0)-1,SL,,)</f>
        <v>15. 表明冶炼厂是否仅从回收料或报废料资源中获取冶炼过程的来料。此为选答问题。本问题允许的回答包括：_x000D_
_x000D_
- 是_x000D_
- 否_x000D_
- 未知</v>
      </c>
      <c r="B65" s="111"/>
    </row>
    <row r="66" spans="1:2" ht="110.25" customHeight="1">
      <c r="A66" s="115" t="str">
        <f ca="1">OFFSET(L!$C$1,MATCH("Instructions"&amp;ADDRESS(ROW(),COLUMN(),4),L!$A:$A,0)-1,SL,,)</f>
        <v>16. 注释 - 无格式限制的文字栏，可输入有关冶炼厂的任何意见。例如：冶炼厂正在被 YYY 公司收购</v>
      </c>
      <c r="B66" s="111"/>
    </row>
    <row r="67" spans="1:2" s="28" customFormat="1" ht="15">
      <c r="A67" s="120"/>
      <c r="B67" s="111"/>
    </row>
    <row r="68" spans="1:2" s="28" customFormat="1" ht="34.5" customHeight="1">
      <c r="A68" s="118" t="str">
        <f ca="1">OFFSET(L!$C$1,MATCH("Instructions"&amp;ADDRESS(ROW(),COLUMN(),4),L!$A:$A,0)-1,SL,,)</f>
        <v>条款及细则</v>
      </c>
      <c r="B68" s="111"/>
    </row>
    <row r="69" spans="1:2" s="28" customFormat="1" ht="15">
      <c r="A69" s="120"/>
      <c r="B69" s="111"/>
    </row>
    <row r="70" spans="1:2" ht="80.650000000000006" customHeight="1">
      <c r="A70" s="118"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11" t="s">
        <v>1304</v>
      </c>
    </row>
    <row r="71" spans="1:2" ht="93.6" customHeight="1">
      <c r="A71" s="281"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11" t="s">
        <v>1310</v>
      </c>
    </row>
    <row r="72" spans="1:2" ht="155.44999999999999" customHeight="1">
      <c r="A72" s="281"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11" t="s">
        <v>1308</v>
      </c>
    </row>
    <row r="73" spans="1:2" ht="75">
      <c r="A73" s="281"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11" t="s">
        <v>1309</v>
      </c>
    </row>
    <row r="74" spans="1:2" ht="30">
      <c r="A74" s="115"/>
      <c r="B74" s="111" t="s">
        <v>441</v>
      </c>
    </row>
    <row r="75" spans="1:2" ht="15">
      <c r="A75" s="115" t="str">
        <f ca="1">OFFSET(L!$C$1,MATCH("General"&amp;"Cpy",L!$A:$A,0)-1,SL,,)</f>
        <v>© 2022 Responsible Minerals Initiative。保留所有权利。</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物品</v>
      </c>
      <c r="C2" s="159" t="str">
        <f ca="1">OFFSET(L!$C$1,MATCH("Definitions"&amp;ADDRESS(ROW(),COLUMN(),4),L!$A:$A,0)-1,SL,,)</f>
        <v>定义</v>
      </c>
      <c r="D2" s="384"/>
      <c r="E2" s="121"/>
    </row>
    <row r="3" spans="1:5" ht="64.150000000000006" customHeight="1">
      <c r="A3" s="84"/>
      <c r="B3" s="71" t="str">
        <f ca="1">OFFSET(L!$C$1,MATCH("Definitions"&amp;ADDRESS(ROW(),COLUMN(),4),L!$A:$A,0)-1,SL,,)</f>
        <v>3TG 是钽 (Tantalum)、锡 (Tin)、钨 (Tungsten)、金 (Gold) 的缩写</v>
      </c>
      <c r="C3" s="71" t="str">
        <f ca="1">OFFSET(L!$C$1,MATCH("Definitions"&amp;ADDRESS(ROW(),COLUMN(),4),L!$A:$A,0)-1,SL,,)</f>
        <v>钽、锡、钨、金</v>
      </c>
      <c r="D3" s="384"/>
      <c r="E3" s="122" t="s">
        <v>1312</v>
      </c>
    </row>
    <row r="4" spans="1:5" ht="63.75" customHeight="1">
      <c r="A4" s="84"/>
      <c r="B4" s="71" t="str">
        <f ca="1">OFFSET(L!$C$1,MATCH("Definitions"&amp;ADDRESS(ROW(),COLUMN(),4),L!$A:$A,0)-1,SL,,)</f>
        <v>授权人</v>
      </c>
      <c r="C4" s="71" t="str">
        <f ca="1">OFFSET(L!$C$1,MATCH("Definitions"&amp;ADDRESS(ROW(),COLUMN(),4),L!$A:$A,0)-1,SL,,)</f>
        <v xml:space="preserve">此字段定义负责申报内容的人员。授权人可能与联络人不同。请勿填写“相同”或相似信息，需提供授权人的姓名。 </v>
      </c>
      <c r="D4" s="384"/>
      <c r="E4" s="122"/>
    </row>
    <row r="5" spans="1:5" ht="60">
      <c r="A5" s="84"/>
      <c r="B5" s="71" t="str">
        <f ca="1">OFFSET(L!$C$1,MATCH("Definitions"&amp;ADDRESS(ROW(),COLUMN(),4),L!$A:$A,0)-1,SL,,)</f>
        <v>受冲突影响和高风险地区 (CAHRA)</v>
      </c>
      <c r="C5" s="71"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84"/>
      <c r="E5" s="122"/>
    </row>
    <row r="6" spans="1:5" ht="151.15" customHeight="1">
      <c r="A6" s="84"/>
      <c r="B6" s="71" t="str">
        <f ca="1">OFFSET(L!$C$1,MATCH("Definitions"&amp;ADDRESS(ROW(),COLUMN(),4),L!$A:$A,0)-1,SL,,)</f>
        <v xml:space="preserve">冲突矿产 </v>
      </c>
      <c r="C6" s="71"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84"/>
      <c r="E6" s="122" t="s">
        <v>1313</v>
      </c>
    </row>
    <row r="7" spans="1:5" ht="105.6" customHeight="1">
      <c r="A7" s="84"/>
      <c r="B7" s="71" t="str">
        <f ca="1">OFFSET(L!$C$1,MATCH("Definitions"&amp;ADDRESS(ROW(),COLUMN(),4),L!$A:$A,0)-1,SL,,)</f>
        <v>指明国家或地区</v>
      </c>
      <c r="C7" s="71"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84"/>
      <c r="E7" s="122" t="s">
        <v>1313</v>
      </c>
    </row>
    <row r="8" spans="1:5" ht="135">
      <c r="A8" s="84"/>
      <c r="B8" s="71" t="str">
        <f ca="1">OFFSET(L!$C$1,MATCH("Definitions"&amp;ADDRESS(ROW(),COLUMN(),4),L!$A:$A,0)-1,SL,,)</f>
        <v xml:space="preserve">申报范围或种类 </v>
      </c>
      <c r="C8" s="71"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84"/>
      <c r="E8" s="122" t="s">
        <v>1316</v>
      </c>
    </row>
    <row r="9" spans="1:5" ht="60">
      <c r="A9" s="84"/>
      <c r="B9" s="71" t="str">
        <f ca="1">OFFSET(L!$C$1,MATCH("Definitions"&amp;ADDRESS(ROW(),COLUMN(),4),L!$A:$A,0)-1,SL,,)</f>
        <v>多德-弗兰克</v>
      </c>
      <c r="C9" s="71"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84"/>
      <c r="E9" s="122" t="s">
        <v>1313</v>
      </c>
    </row>
    <row r="10" spans="1:5" ht="45">
      <c r="A10" s="84"/>
      <c r="B10" s="71" t="str">
        <f ca="1">OFFSET(L!$C$1,MATCH("Definitions"&amp;ADDRESS(ROW(),COLUMN(),4),L!$A:$A,0)-1,SL,,)</f>
        <v>刚果民主共和国</v>
      </c>
      <c r="C10" s="71" t="str">
        <f ca="1">OFFSET(L!$C$1,MATCH("Definitions"&amp;ADDRESS(ROW(),COLUMN(),4),L!$A:$A,0)-1,SL,,)</f>
        <v>刚果民主共和国</v>
      </c>
      <c r="D10" s="384"/>
      <c r="E10" s="122" t="s">
        <v>1312</v>
      </c>
    </row>
    <row r="11" spans="1:5" ht="60" hidden="1">
      <c r="A11" s="84"/>
      <c r="B11" s="71" t="str">
        <f ca="1">OFFSET(L!$C$1,MATCH("Definitions"&amp;ADDRESS(ROW(),COLUMN(),4),L!$A:$A,0)-1,SL,,)</f>
        <v>刚果民主共和国无冲突的冲突矿产</v>
      </c>
      <c r="C11" s="71"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84"/>
      <c r="E11" s="122" t="s">
        <v>1312</v>
      </c>
    </row>
    <row r="12" spans="1:5" ht="60">
      <c r="A12" s="84"/>
      <c r="B12" s="71" t="str">
        <f ca="1">OFFSET(L!$C$1,MATCH("Definitions"&amp;ADDRESS(ROW(),COLUMN(),4),L!$A:$A,0)-1,SL,,)</f>
        <v>金精炼厂（冶炼厂）</v>
      </c>
      <c r="C12" s="71"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84"/>
      <c r="E12" s="122" t="s">
        <v>1312</v>
      </c>
    </row>
    <row r="13" spans="1:5" ht="107.25" customHeight="1">
      <c r="A13" s="84"/>
      <c r="B13" s="71" t="str">
        <f ca="1">OFFSET(L!$C$1,MATCH("Definitions"&amp;ADDRESS(ROW(),COLUMN(),4),L!$A:$A,0)-1,SL,,)</f>
        <v>独立的第三方审核机构</v>
      </c>
      <c r="C13" s="71"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84"/>
      <c r="E13" s="122" t="s">
        <v>1314</v>
      </c>
    </row>
    <row r="14" spans="1:5" ht="300">
      <c r="A14" s="84"/>
      <c r="B14" s="71" t="str">
        <f ca="1">OFFSET(L!$C$1,MATCH("Definitions"&amp;ADDRESS(ROW(),COLUMN(),4),L!$A:$A,0)-1,SL,,)</f>
        <v>有意添加</v>
      </c>
      <c r="C14" s="71"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84"/>
      <c r="E15" s="122" t="s">
        <v>1312</v>
      </c>
    </row>
    <row r="16" spans="1:5" ht="60">
      <c r="A16" s="84"/>
      <c r="B16" s="71" t="str">
        <f ca="1">OFFSET(L!$C$1,MATCH("Definitions"&amp;ADDRESS(ROW(),COLUMN(),4),L!$A:$A,0)-1,SL,,)</f>
        <v>IPC-1755 冲突矿产数据交换标准</v>
      </c>
      <c r="C16" s="71"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84"/>
      <c r="E16" s="122" t="s">
        <v>1312</v>
      </c>
    </row>
    <row r="17" spans="1:5" ht="180">
      <c r="A17" s="84"/>
      <c r="B17" s="71" t="str">
        <f ca="1">OFFSET(L!$C$1,MATCH("Definitions"&amp;ADDRESS(ROW(),COLUMN(),4),L!$A:$A,0)-1,SL,,)</f>
        <v>产品功能需要</v>
      </c>
      <c r="C17" s="71"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84"/>
      <c r="E17" s="122" t="s">
        <v>1312</v>
      </c>
    </row>
    <row r="18" spans="1:5" ht="150">
      <c r="A18" s="84"/>
      <c r="B18" s="71" t="str">
        <f ca="1">OFFSET(L!$C$1,MATCH("Definitions"&amp;ADDRESS(ROW(),COLUMN(),4),L!$A:$A,0)-1,SL,,)</f>
        <v>产品生产需要</v>
      </c>
      <c r="C18" s="71"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84"/>
      <c r="E18" s="122" t="s">
        <v>1312</v>
      </c>
    </row>
    <row r="19" spans="1:5" ht="15">
      <c r="A19" s="84"/>
      <c r="B19" s="71" t="str">
        <f ca="1">OFFSET(L!$C$1,MATCH("Definitions"&amp;ADDRESS(ROW(),COLUMN(),4),L!$A:$A,0)-1,SL,,)</f>
        <v>经济合作与发展组织（Organization for Economic Co-operation and Development，OECD）</v>
      </c>
      <c r="C19" s="71" t="str">
        <f ca="1">OFFSET(L!$C$1,MATCH("Definitions"&amp;ADDRESS(ROW(),COLUMN(),4),L!$A:$A,0)-1,SL,,)</f>
        <v>经济合作与发展组织</v>
      </c>
      <c r="D19" s="384"/>
      <c r="E19" s="122"/>
    </row>
    <row r="20" spans="1:5" ht="30">
      <c r="A20" s="84"/>
      <c r="B20" s="71" t="str">
        <f ca="1">OFFSET(L!$C$1,MATCH("Definitions"&amp;ADDRESS(ROW(),COLUMN(),4),L!$A:$A,0)-1,SL,,)</f>
        <v>产品</v>
      </c>
      <c r="C20" s="71" t="str">
        <f ca="1">OFFSET(L!$C$1,MATCH("Definitions"&amp;ADDRESS(ROW(),COLUMN(),4),L!$A:$A,0)-1,SL,,)</f>
        <v xml:space="preserve">公司的产品或成品是指在制造生产阶段或最后完成阶段的物料或物品，并且已可以交付或销售给客户。 </v>
      </c>
      <c r="D20" s="384"/>
      <c r="E20" s="122"/>
    </row>
    <row r="21" spans="1:5" ht="15">
      <c r="A21" s="84"/>
      <c r="B21" s="71" t="str">
        <f ca="1">OFFSET(L!$C$1,MATCH("Definitions"&amp;ADDRESS(ROW(),COLUMN(),4),L!$A:$A,0)-1,SL,,)</f>
        <v>责任商业联盟（Responsible Business Alliance，RBA）</v>
      </c>
      <c r="C21" s="71" t="str">
        <f ca="1">OFFSET(L!$C$1,MATCH("Definitions"&amp;ADDRESS(ROW(),COLUMN(),4),L!$A:$A,0)-1,SL,,)</f>
        <v>责任商业联盟 (www.responsiblebusiness.org)</v>
      </c>
      <c r="D21" s="384"/>
      <c r="E21" s="122"/>
    </row>
    <row r="22" spans="1:5" ht="106.5" customHeight="1">
      <c r="A22" s="84"/>
      <c r="B22" s="71" t="str">
        <f ca="1">OFFSET(L!$C$1,MATCH("Definitions"&amp;ADDRESS(ROW(),COLUMN(),4),L!$A:$A,0)-1,SL,,)</f>
        <v>回收或废料源</v>
      </c>
      <c r="C22" s="71"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84"/>
      <c r="E22" s="122"/>
    </row>
    <row r="23" spans="1:5" ht="60">
      <c r="A23" s="84"/>
      <c r="B23" s="71" t="str">
        <f ca="1">OFFSET(L!$C$1,MATCH("Definitions"&amp;ADDRESS(ROW(),COLUMN(),4),L!$A:$A,0)-1,SL,,)</f>
        <v>负责任矿物审验流程 (RMAP)</v>
      </c>
      <c r="C23" s="71"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84"/>
      <c r="E23" s="122"/>
    </row>
    <row r="24" spans="1:5" ht="168" customHeight="1">
      <c r="A24" s="84"/>
      <c r="B24" s="71" t="str">
        <f ca="1">OFFSET(L!$C$1,MATCH("Definitions"&amp;ADDRESS(ROW(),COLUMN(),4),L!$A:$A,0)-1,SL,,)</f>
        <v>负责任矿物计划</v>
      </c>
      <c r="C24" s="71"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84"/>
      <c r="E24" s="122"/>
    </row>
    <row r="25" spans="1:5" ht="177.6" customHeight="1">
      <c r="A25" s="84"/>
      <c r="B25" s="71" t="str">
        <f ca="1">OFFSET(L!$C$1,MATCH("Definitions"&amp;ADDRESS(ROW(),COLUMN(),4),L!$A:$A,0)-1,SL,,)</f>
        <v>无冲突冶炼厂计划合规冶炼厂列表</v>
      </c>
      <c r="C25" s="71"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84"/>
      <c r="E25" s="122" t="s">
        <v>1312</v>
      </c>
    </row>
    <row r="26" spans="1:5" ht="75">
      <c r="A26" s="84"/>
      <c r="B26" s="71" t="str">
        <f ca="1">OFFSET(L!$C$1,MATCH("Definitions"&amp;ADDRESS(ROW(),COLUMN(),4),L!$A:$A,0)-1,SL,,)</f>
        <v>证券交易委员会 (SEC)</v>
      </c>
      <c r="C26" s="71" t="str">
        <f ca="1">OFFSET(L!$C$1,MATCH("Definitions"&amp;ADDRESS(ROW(),COLUMN(),4),L!$A:$A,0)-1,SL,,)</f>
        <v>美国证券交易委员会 (www.sec.gov)</v>
      </c>
      <c r="D26" s="384"/>
      <c r="E26" s="122" t="s">
        <v>1314</v>
      </c>
    </row>
    <row r="27" spans="1:5" ht="75">
      <c r="A27" s="84"/>
      <c r="B27" s="71" t="str">
        <f ca="1">OFFSET(L!$C$1,MATCH("Definitions"&amp;ADDRESS(ROW(),COLUMN(),4),L!$A:$A,0)-1,SL,,)</f>
        <v>冶炼厂</v>
      </c>
      <c r="C27" s="71"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84"/>
      <c r="E27" s="122" t="s">
        <v>1312</v>
      </c>
    </row>
    <row r="28" spans="1:5" ht="60">
      <c r="A28" s="84"/>
      <c r="B28" s="71" t="str">
        <f ca="1">OFFSET(L!$C$1,MATCH("Definitions"&amp;ADDRESS(ROW(),COLUMN(),4),L!$A:$A,0)-1,SL,,)</f>
        <v>冶炼厂识别序号</v>
      </c>
      <c r="C28" s="71"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84"/>
      <c r="E28" s="122" t="s">
        <v>1313</v>
      </c>
    </row>
    <row r="29" spans="1:5" ht="90">
      <c r="A29" s="84"/>
      <c r="B29" s="71" t="str">
        <f ca="1">OFFSET(L!$C$1,MATCH("Definitions"&amp;ADDRESS(ROW(),COLUMN(),4),L!$A:$A,0)-1,SL,,)</f>
        <v>钽 (Ta) 冶炼厂</v>
      </c>
      <c r="C29" s="71"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84"/>
      <c r="E29" s="122" t="s">
        <v>1314</v>
      </c>
    </row>
    <row r="30" spans="1:5" ht="151.9" customHeight="1">
      <c r="A30" s="84"/>
      <c r="B30" s="71" t="str">
        <f ca="1">OFFSET(L!$C$1,MATCH("Definitions"&amp;ADDRESS(ROW(),COLUMN(),4),L!$A:$A,0)-1,SL,,)</f>
        <v>锡 (Sn) 冶炼厂</v>
      </c>
      <c r="C30" s="71"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84"/>
      <c r="E30" s="122" t="s">
        <v>1315</v>
      </c>
    </row>
    <row r="31" spans="1:5" ht="136.9" customHeight="1">
      <c r="A31" s="84"/>
      <c r="B31" s="71" t="str">
        <f ca="1">OFFSET(L!$C$1,MATCH("Definitions"&amp;ADDRESS(ROW(),COLUMN(),4),L!$A:$A,0)-1,SL,,)</f>
        <v>钨 (W) 冶炼厂</v>
      </c>
      <c r="C31" s="71"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84"/>
      <c r="E31" s="122"/>
    </row>
    <row r="32" spans="1:5" ht="15">
      <c r="A32" s="84"/>
      <c r="B32" s="383" t="str">
        <f ca="1">OFFSET(L!$C$1,MATCH("General"&amp;"Cpy",L!$A:$A,0)-1,SL,,)</f>
        <v>© 2022 Responsible Minerals Initiative。保留所有权利。</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83" sqref="G83:J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13373</v>
      </c>
      <c r="E3" s="12"/>
      <c r="F3" s="419"/>
      <c r="G3" s="419"/>
      <c r="H3" s="419"/>
      <c r="I3" s="175"/>
      <c r="J3" s="160" t="s">
        <v>15654</v>
      </c>
      <c r="K3" s="44"/>
      <c r="L3" s="133"/>
      <c r="M3" s="124"/>
      <c r="N3" s="124"/>
      <c r="O3" s="125"/>
      <c r="P3" s="138">
        <f>MATCH($D$3,LN,0)</f>
        <v>2</v>
      </c>
    </row>
    <row r="4" spans="1:34" ht="15.75">
      <c r="A4" s="42"/>
      <c r="B4" s="415" t="str">
        <f ca="1">OFFSET(L!$C$1,MATCH("Declaration"&amp;ADDRESS(ROW(),COLUMN(),4),L!$A:$A,0)-1,SL,,)</f>
        <v>此填写此报告的目的是收集在产品中所用锡、钽、钨、黄金等金属的采购信息。</v>
      </c>
      <c r="C4" s="415"/>
      <c r="D4" s="415"/>
      <c r="E4" s="415"/>
      <c r="F4" s="415"/>
      <c r="G4" s="415"/>
      <c r="H4" s="415"/>
      <c r="I4" s="420">
        <f ca="1">OFFSET(L!$C$1,MATCH("Declaration"&amp;ADDRESS(ROW(),COLUMN(),4),L!$A:$A,0)-1,SL,,)</f>
        <v>0</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25.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必填字段标记为星号 (*)。参考说明选项卡，获取关于如何答复每个问题的指南。</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公司信息</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公司名称 (*)：</v>
      </c>
      <c r="C8" s="86"/>
      <c r="D8" s="462" t="s">
        <v>15662</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申报范围或种类 (*)：</v>
      </c>
      <c r="C9" s="86"/>
      <c r="D9" s="421" t="s">
        <v>494</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范围描述：</v>
      </c>
      <c r="C10" s="144"/>
      <c r="D10" s="416"/>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 xml:space="preserve">公司唯一识别信息： </v>
      </c>
      <c r="C12" s="87"/>
      <c r="D12" s="412"/>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公司唯一授权识别信息：</v>
      </c>
      <c r="C13" s="87"/>
      <c r="D13" s="412"/>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地址：</v>
      </c>
      <c r="C14" s="87"/>
      <c r="D14" s="412" t="s">
        <v>15655</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联系人姓名 (*)：</v>
      </c>
      <c r="C15" s="87"/>
      <c r="D15" s="460" t="s">
        <v>15656</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电子邮件 - 联系人 (*)：</v>
      </c>
      <c r="C16" s="87"/>
      <c r="D16" s="412" t="s">
        <v>15657</v>
      </c>
      <c r="E16" s="413"/>
      <c r="F16" s="413"/>
      <c r="G16" s="413"/>
      <c r="H16" s="413"/>
      <c r="I16" s="413"/>
      <c r="J16" s="414"/>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电话 - 联系人 (*)：</v>
      </c>
      <c r="C17" s="87"/>
      <c r="D17" s="412" t="s">
        <v>15658</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授权人 (*)：</v>
      </c>
      <c r="C18" s="87"/>
      <c r="D18" s="461" t="s">
        <v>15659</v>
      </c>
      <c r="E18" s="445"/>
      <c r="F18" s="445"/>
      <c r="G18" s="445"/>
      <c r="H18" s="445"/>
      <c r="I18" s="445"/>
      <c r="J18" s="446"/>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职务 - 授权人：</v>
      </c>
      <c r="C19" s="87"/>
      <c r="D19" s="460" t="s">
        <v>15660</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电子邮件 - 授权人 (*)：</v>
      </c>
      <c r="C20" s="87"/>
      <c r="D20" s="427" t="s">
        <v>15661</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电话 - 授权人：</v>
      </c>
      <c r="C21" s="155"/>
      <c r="D21" s="386" t="s">
        <v>15658</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生效日期 (*)：</v>
      </c>
      <c r="C22" s="88"/>
      <c r="D22" s="391">
        <v>44937</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根据上述申报范围，回答以下 1 至 8 题</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是否在产品或生产流程中有意添加或使用任何 3TG？(*)</v>
      </c>
      <c r="C25" s="20"/>
      <c r="D25" s="400" t="str">
        <f ca="1">OFFSET(L!$C$1,MATCH("Declaration"&amp;ADDRESS(ROW(),COLUMN(),4),L!$A:$A,0)-1,SL,,)</f>
        <v>回答</v>
      </c>
      <c r="E25" s="400"/>
      <c r="F25" s="21"/>
      <c r="G25" s="52" t="str">
        <f ca="1">OFFSET(L!$C$1,MATCH("Declaration"&amp;ADDRESS(ROW(),COLUMN(),4),L!$A:$A,0)-1,SL,,)</f>
        <v>注释</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钽</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锡(*)</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金(*)</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钨</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是否有任何 3TG 仍存在于产品中？ (*)</v>
      </c>
      <c r="C31" s="13"/>
      <c r="D31" s="394" t="str">
        <f ca="1">D25</f>
        <v>回答</v>
      </c>
      <c r="E31" s="394"/>
      <c r="F31" s="21"/>
      <c r="G31" s="52" t="str">
        <f ca="1">G25</f>
        <v>注释</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钽</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锡(*)</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金(*)</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钨</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贵公司供应链中的冶炼厂是否从所指明的国家采购 3TG？（有关术语“SEC”，请参见定义选项卡） (*)</v>
      </c>
      <c r="C37" s="13"/>
      <c r="D37" s="394" t="str">
        <f ca="1">D25</f>
        <v>回答</v>
      </c>
      <c r="E37" s="394"/>
      <c r="F37" s="21"/>
      <c r="G37" s="52" t="str">
        <f ca="1">G25</f>
        <v>注释</v>
      </c>
      <c r="H37" s="436"/>
      <c r="I37" s="436"/>
      <c r="J37" s="436"/>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钽</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锡(*)</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金(*)</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钨</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贵公司供应链中是否有冶炼厂从受冲突影响和高风险地区_x000D_
采购 3TG？ (*)</v>
      </c>
      <c r="C43" s="13"/>
      <c r="D43" s="394" t="str">
        <f ca="1">D25</f>
        <v>回答</v>
      </c>
      <c r="E43" s="394"/>
      <c r="F43" s="21"/>
      <c r="G43" s="52" t="str">
        <f ca="1">G25</f>
        <v>注释</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钽</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锡(*)</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金(*)</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钨</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是否 100% 的 3TG（因产品功能或生产而必须使用）来自于回收料或报废料？ (*)</v>
      </c>
      <c r="C49" s="13"/>
      <c r="D49" s="394" t="str">
        <f ca="1">D25</f>
        <v>回答</v>
      </c>
      <c r="E49" s="394"/>
      <c r="F49" s="21"/>
      <c r="G49" s="52" t="str">
        <f ca="1">G25</f>
        <v>注释</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钽</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锡(*)</v>
      </c>
      <c r="C51" s="13"/>
      <c r="D51" s="389" t="s">
        <v>490</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金(*)</v>
      </c>
      <c r="C52" s="13"/>
      <c r="D52" s="389" t="s">
        <v>490</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钨</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已对贵公司供应链调查提供答复的相关供应商百分比是多少？ (*)</v>
      </c>
      <c r="C55" s="13"/>
      <c r="D55" s="394" t="str">
        <f ca="1">D25</f>
        <v>回答</v>
      </c>
      <c r="E55" s="394"/>
      <c r="F55" s="21"/>
      <c r="G55" s="52" t="str">
        <f ca="1">G25</f>
        <v>注释</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钽</v>
      </c>
      <c r="C56" s="43"/>
      <c r="D56" s="430"/>
      <c r="E56" s="431"/>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锡(*)</v>
      </c>
      <c r="C57" s="43"/>
      <c r="D57" s="430">
        <v>1</v>
      </c>
      <c r="E57" s="431"/>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金(*)</v>
      </c>
      <c r="C58" s="43"/>
      <c r="D58" s="430">
        <v>1</v>
      </c>
      <c r="E58" s="431"/>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钨</v>
      </c>
      <c r="C59" s="43"/>
      <c r="D59" s="430"/>
      <c r="E59" s="431"/>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您是否识别出为贵公司供应链供应 3TG 的所有冶炼厂？ (*)</v>
      </c>
      <c r="C61" s="13"/>
      <c r="D61" s="394" t="str">
        <f ca="1">D25</f>
        <v>回答</v>
      </c>
      <c r="E61" s="394"/>
      <c r="F61" s="21"/>
      <c r="G61" s="52" t="str">
        <f ca="1">G25</f>
        <v>注释</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钽</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锡(*)</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金(*)</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钨</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贵公司收到的所有适用冶炼厂信息是否已在此申报中报告？ (*)</v>
      </c>
      <c r="C67" s="13"/>
      <c r="D67" s="394" t="str">
        <f ca="1">D25</f>
        <v>回答</v>
      </c>
      <c r="E67" s="394"/>
      <c r="F67" s="21"/>
      <c r="G67" s="52" t="str">
        <f ca="1">G25</f>
        <v>注释</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钽</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锡(*)</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金(*)</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钨</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7" t="str">
        <f ca="1">OFFSET(L!$C$1,MATCH("Declaration"&amp;ADDRESS(ROW(),COLUMN(),4),L!$A:$A,0)-1,SL,,)</f>
        <v>从公司层面，回答以下问题</v>
      </c>
      <c r="C73" s="447"/>
      <c r="D73" s="447"/>
      <c r="E73" s="447"/>
      <c r="F73" s="447"/>
      <c r="G73" s="447"/>
      <c r="H73" s="447"/>
      <c r="I73" s="447"/>
      <c r="J73" s="44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问题</v>
      </c>
      <c r="C74" s="91"/>
      <c r="D74" s="400" t="str">
        <f ca="1">D25</f>
        <v>回答</v>
      </c>
      <c r="E74" s="400"/>
      <c r="F74" s="61"/>
      <c r="G74" s="400" t="str">
        <f ca="1">G25</f>
        <v>注释</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贵公司是否已制定负责任矿产采购政策？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贵公司的负责任矿产采购政策是否公开发布于贵公司网页上？（备注 - 如果是，请在注释字段中注明 URL。） (*)</v>
      </c>
      <c r="C77" s="65"/>
      <c r="D77" s="389" t="s">
        <v>488</v>
      </c>
      <c r="E77" s="390"/>
      <c r="F77" s="65"/>
      <c r="G77" s="401" t="s">
        <v>15663</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您是否要求您的直接供应商从其尽职调查实践已被被独立第三方审核机构验证过的冶炼厂采购 3TG？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贵公司是否已实施负责任矿产采购的尽职调查措施？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贵公司是否开展了相关供应商的冲突矿产调查？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贵公司是否根据公司期望来审查供应商提交的尽职调查信息？ (*)</v>
      </c>
      <c r="C85" s="65"/>
      <c r="D85" s="441" t="s">
        <v>488</v>
      </c>
      <c r="E85" s="442"/>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贵公司的验证程序是否包括纠正措施管理？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贵公司是否需要提交年度冲突矿产披露？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Initiative。保留所有权利。</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114" priority="69" stopIfTrue="1">
      <formula>AND(OR($D$26="No",AND($D$26="Yes",$D$32="No")),OR($D$27="No",AND($D$27="Yes",$D$33="No")),OR($D$28="No",AND($D$28="Yes",$D$34="No")),OR($D$29="No",AND($D$29="Yes",$D$35="No")))</formula>
    </cfRule>
    <cfRule type="expression" dxfId="113" priority="70" stopIfTrue="1">
      <formula>IF(D75="",TRUE)</formula>
    </cfRule>
  </conditionalFormatting>
  <conditionalFormatting sqref="G77:J77">
    <cfRule type="expression" dxfId="112" priority="41" stopIfTrue="1">
      <formula>IF(AND($D$77="Yes",$G$77=""),TRUE)</formula>
    </cfRule>
  </conditionalFormatting>
  <conditionalFormatting sqref="D26:E26">
    <cfRule type="expression" dxfId="111" priority="121" stopIfTrue="1">
      <formula>IF($D$26="",TRUE)</formula>
    </cfRule>
  </conditionalFormatting>
  <conditionalFormatting sqref="D27:E27">
    <cfRule type="expression" dxfId="110" priority="128" stopIfTrue="1">
      <formula>IF($D$27="",TRUE)</formula>
    </cfRule>
  </conditionalFormatting>
  <conditionalFormatting sqref="D28:E28">
    <cfRule type="expression" dxfId="109" priority="129" stopIfTrue="1">
      <formula>IF($D$28="",TRUE)</formula>
    </cfRule>
  </conditionalFormatting>
  <conditionalFormatting sqref="D29:E29">
    <cfRule type="expression" dxfId="108" priority="130" stopIfTrue="1">
      <formula>IF($D$29="",TRUE)</formula>
    </cfRule>
  </conditionalFormatting>
  <conditionalFormatting sqref="D8:J8">
    <cfRule type="expression" dxfId="107" priority="135" stopIfTrue="1">
      <formula>IF($D$8="",TRUE)</formula>
    </cfRule>
  </conditionalFormatting>
  <conditionalFormatting sqref="D9:G9">
    <cfRule type="expression" dxfId="106" priority="136" stopIfTrue="1">
      <formula>IF($D$9="",TRUE)</formula>
    </cfRule>
  </conditionalFormatting>
  <conditionalFormatting sqref="D22:E22">
    <cfRule type="expression" dxfId="102" priority="143" stopIfTrue="1">
      <formula>IF($D$22="",TRUE)</formula>
    </cfRule>
  </conditionalFormatting>
  <conditionalFormatting sqref="D10:J10">
    <cfRule type="expression" dxfId="101" priority="40" stopIfTrue="1">
      <formula>IF($D$9=$Q$9,TRUE)</formula>
    </cfRule>
    <cfRule type="expression" dxfId="100" priority="150" stopIfTrue="1">
      <formula>IF(AND($D$10="",$D$9=$R$9),TRUE)</formula>
    </cfRule>
  </conditionalFormatting>
  <conditionalFormatting sqref="D34:E34 D40:E40 D52:E52 D58:E58 D64:E64 D70:E70">
    <cfRule type="expression" dxfId="99" priority="33" stopIfTrue="1">
      <formula>$P$28=""</formula>
    </cfRule>
  </conditionalFormatting>
  <conditionalFormatting sqref="D35:E35 D41:E41 D53:E53 D59:E59 D65:E65 D71:E71">
    <cfRule type="expression" dxfId="98" priority="148" stopIfTrue="1">
      <formula>$P$29=""</formula>
    </cfRule>
  </conditionalFormatting>
  <conditionalFormatting sqref="D32:E32">
    <cfRule type="expression" dxfId="97" priority="126" stopIfTrue="1">
      <formula>$P$26=""</formula>
    </cfRule>
  </conditionalFormatting>
  <conditionalFormatting sqref="D32:E32">
    <cfRule type="expression" dxfId="96" priority="39" stopIfTrue="1">
      <formula>IF(AND(OR($D$26="Yes",$D$26=""),$D$32=""),1,0)</formula>
    </cfRule>
  </conditionalFormatting>
  <conditionalFormatting sqref="D38 D50 D56 D62 D68">
    <cfRule type="expression" dxfId="95" priority="35" stopIfTrue="1">
      <formula>$P$32=""</formula>
    </cfRule>
  </conditionalFormatting>
  <conditionalFormatting sqref="D39:E39 D51 D57 D63 D69">
    <cfRule type="expression" dxfId="94" priority="34" stopIfTrue="1">
      <formula>$P$33=""</formula>
    </cfRule>
  </conditionalFormatting>
  <conditionalFormatting sqref="D40 D52 D58 D64 D70">
    <cfRule type="expression" dxfId="93" priority="24" stopIfTrue="1">
      <formula>$P$34=""</formula>
    </cfRule>
    <cfRule type="expression" dxfId="92" priority="146" stopIfTrue="1">
      <formula>IF(AND(OR($D$28="Yes",$D$28=""),D40=""),1,0)</formula>
    </cfRule>
  </conditionalFormatting>
  <conditionalFormatting sqref="D41 D53 D59 D65 D71">
    <cfRule type="expression" dxfId="91" priority="32" stopIfTrue="1">
      <formula>$P$35=""</formula>
    </cfRule>
  </conditionalFormatting>
  <conditionalFormatting sqref="D38:E38 D50:E50 D56:E56 D62:E62 D68:E68">
    <cfRule type="expression" dxfId="90" priority="37" stopIfTrue="1">
      <formula>$P$26=""</formula>
    </cfRule>
    <cfRule type="expression" dxfId="89" priority="38" stopIfTrue="1">
      <formula>IF(AND(OR($D$26="Yes",$D$26=""),D38=""),1,0)</formula>
    </cfRule>
  </conditionalFormatting>
  <conditionalFormatting sqref="G85:J85">
    <cfRule type="expression" dxfId="88" priority="31" stopIfTrue="1">
      <formula>IF(AND($D$85="Yes, using other format (describe)",$G$85=""),TRUE)</formula>
    </cfRule>
  </conditionalFormatting>
  <conditionalFormatting sqref="D39:E39 D51:E51 D57:E57 D63:E63 D69:E69">
    <cfRule type="expression" dxfId="87" priority="144" stopIfTrue="1">
      <formula>$P$39=""</formula>
    </cfRule>
    <cfRule type="expression" dxfId="86" priority="145" stopIfTrue="1">
      <formula>IF(AND(OR($D$27="Yes",$D$27=""),D39=""),1,0)</formula>
    </cfRule>
  </conditionalFormatting>
  <conditionalFormatting sqref="D33:E33">
    <cfRule type="expression" dxfId="85" priority="26" stopIfTrue="1">
      <formula>IF(AND(OR($D$27="Yes",$D$27=""),$D$33=""),1,0)</formula>
    </cfRule>
    <cfRule type="expression" dxfId="84" priority="27" stopIfTrue="1">
      <formula>$P$27=""</formula>
    </cfRule>
  </conditionalFormatting>
  <conditionalFormatting sqref="D34:E34">
    <cfRule type="expression" dxfId="83" priority="147" stopIfTrue="1">
      <formula>IF(AND(OR($D$28="Yes",$D$28=""),$D$34=""),1,0)</formula>
    </cfRule>
  </conditionalFormatting>
  <conditionalFormatting sqref="D41:E41 D53:E53 D59:E59 D65:E65 D71:E71">
    <cfRule type="expression" dxfId="82" priority="149" stopIfTrue="1">
      <formula>IF(AND(OR($D$29="Yes",$D$29=""),D41=""),1,0)</formula>
    </cfRule>
  </conditionalFormatting>
  <conditionalFormatting sqref="D35:E35">
    <cfRule type="expression" dxfId="81" priority="23" stopIfTrue="1">
      <formula>IF(AND(OR($D$29="Yes",$D$29=""),$D$35=""),1,0)</formula>
    </cfRule>
  </conditionalFormatting>
  <conditionalFormatting sqref="D46:E46">
    <cfRule type="expression" dxfId="79" priority="9" stopIfTrue="1">
      <formula>$P$28=""</formula>
    </cfRule>
  </conditionalFormatting>
  <conditionalFormatting sqref="D47:E47">
    <cfRule type="expression" dxfId="78" priority="17" stopIfTrue="1">
      <formula>$P$29=""</formula>
    </cfRule>
  </conditionalFormatting>
  <conditionalFormatting sqref="D44">
    <cfRule type="expression" dxfId="77" priority="11" stopIfTrue="1">
      <formula>$P$32=""</formula>
    </cfRule>
  </conditionalFormatting>
  <conditionalFormatting sqref="D45">
    <cfRule type="expression" dxfId="76" priority="10" stopIfTrue="1">
      <formula>$P$33=""</formula>
    </cfRule>
  </conditionalFormatting>
  <conditionalFormatting sqref="D46">
    <cfRule type="expression" dxfId="75" priority="7" stopIfTrue="1">
      <formula>$P$34=""</formula>
    </cfRule>
    <cfRule type="expression" dxfId="74" priority="16" stopIfTrue="1">
      <formula>IF(AND(OR($D$28="Yes",$D$28=""),D46=""),1,0)</formula>
    </cfRule>
  </conditionalFormatting>
  <conditionalFormatting sqref="D47">
    <cfRule type="expression" dxfId="73" priority="8" stopIfTrue="1">
      <formula>$P$35=""</formula>
    </cfRule>
  </conditionalFormatting>
  <conditionalFormatting sqref="D44:E44">
    <cfRule type="expression" dxfId="72" priority="12" stopIfTrue="1">
      <formula>$P$26=""</formula>
    </cfRule>
    <cfRule type="expression" dxfId="71" priority="13" stopIfTrue="1">
      <formula>IF(AND(OR($D$26="Yes",$D$26=""),D44=""),1,0)</formula>
    </cfRule>
  </conditionalFormatting>
  <conditionalFormatting sqref="D45:E45">
    <cfRule type="expression" dxfId="70" priority="14" stopIfTrue="1">
      <formula>$P$39=""</formula>
    </cfRule>
    <cfRule type="expression" dxfId="69" priority="15" stopIfTrue="1">
      <formula>IF(AND(OR($D$27="Yes",$D$27=""),D45=""),1,0)</formula>
    </cfRule>
  </conditionalFormatting>
  <conditionalFormatting sqref="D47:E47">
    <cfRule type="expression" dxfId="68" priority="18" stopIfTrue="1">
      <formula>IF(AND(OR($D$29="Yes",$D$29=""),D47=""),1,0)</formula>
    </cfRule>
  </conditionalFormatting>
  <conditionalFormatting sqref="D15:J15">
    <cfRule type="expression" dxfId="29" priority="4" stopIfTrue="1">
      <formula>IF($D$15="",TRUE)</formula>
    </cfRule>
  </conditionalFormatting>
  <conditionalFormatting sqref="D17:J17">
    <cfRule type="expression" dxfId="27" priority="2" stopIfTrue="1">
      <formula>IF($D$17="",TRUE)</formula>
    </cfRule>
  </conditionalFormatting>
  <conditionalFormatting sqref="D20:J20">
    <cfRule type="expression" dxfId="25" priority="3" stopIfTrue="1">
      <formula>IF($D$20="",TRUE)</formula>
    </cfRule>
  </conditionalFormatting>
  <conditionalFormatting sqref="D18:J18">
    <cfRule type="expression" dxfId="23" priority="5" stopIfTrue="1">
      <formula>IF($D$18="",TRUE)</formula>
    </cfRule>
  </conditionalFormatting>
  <conditionalFormatting sqref="D16:J16">
    <cfRule type="expression" dxfId="21" priority="1" stopIfTrue="1">
      <formula>IF($D$17="",TRUE)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D9" sqref="D9"/>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首先：</v>
      </c>
      <c r="C2" s="196"/>
      <c r="D2" s="196"/>
      <c r="E2" s="196"/>
      <c r="F2" s="222"/>
      <c r="G2" s="222"/>
      <c r="H2" s="222"/>
      <c r="I2" s="223"/>
      <c r="J2" s="448" t="str">
        <f ca="1">OFFSET(L!$C$1,MATCH("Smelter List"&amp;ADDRESS(ROW(),COLUMN(),4),L!$A:$A,0)-1,SL,,)</f>
        <v>链接到“RMAP 合规冶炼厂列表”</v>
      </c>
      <c r="K2" s="449"/>
      <c r="L2" s="449"/>
      <c r="M2" s="449"/>
      <c r="N2" s="449"/>
      <c r="O2" s="449"/>
      <c r="P2" s="224"/>
      <c r="Q2" s="225"/>
      <c r="R2" s="226"/>
      <c r="S2" s="226"/>
      <c r="T2" s="226"/>
      <c r="U2" s="254"/>
      <c r="V2" s="254"/>
      <c r="W2" s="255"/>
      <c r="X2" s="254"/>
      <c r="Y2" s="254"/>
      <c r="Z2" s="254"/>
      <c r="AH2" s="167" t="s">
        <v>488</v>
      </c>
    </row>
    <row r="3" spans="1:34" s="256" customFormat="1" ht="173.45" customHeight="1">
      <c r="A3" s="195"/>
      <c r="B3" s="45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450"/>
      <c r="D3" s="450"/>
      <c r="E3" s="450"/>
      <c r="F3" s="257"/>
      <c r="G3" s="451" t="str">
        <f ca="1">OFFSET(L!$C$1,MATCH("General"&amp;"Cpy",L!$A:$A,0)-1,SL,,)</f>
        <v>© 2022 Responsible Minerals Initiative。保留所有权利。</v>
      </c>
      <c r="H3" s="451"/>
      <c r="I3" s="452"/>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冶炼厂识别号码输入列</v>
      </c>
      <c r="B4" s="249" t="str">
        <f ca="1">OFFSET(L!$C$1,MATCH("Smelter List"&amp;ADDRESS(ROW(),COLUMN(),4),L!$A:$A,0)-1,SL,,)</f>
        <v>金属 (*)</v>
      </c>
      <c r="C4" s="249" t="str">
        <f ca="1">OFFSET(L!$C$1,MATCH("Smelter List"&amp;ADDRESS(ROW(),COLUMN(),4),L!$A:$A,0)-1,SL,,)</f>
        <v>冶炼厂查找 (*)</v>
      </c>
      <c r="D4" s="249" t="str">
        <f ca="1">OFFSET(L!$C$1,MATCH("Smelter List"&amp;ADDRESS(ROW(),COLUMN(),4),L!$A:$A,0)-1,SL,,)</f>
        <v>冶炼厂名称 (1)</v>
      </c>
      <c r="E4" s="249" t="str">
        <f ca="1">OFFSET(L!$C$1,MATCH("Smelter List"&amp;ADDRESS(ROW(),COLUMN(),4),L!$A:$A,0)-1,SL,,)</f>
        <v>冶炼厂所在国家或地区 (*)</v>
      </c>
      <c r="F4" s="249" t="str">
        <f ca="1">OFFSET(L!$C$1,MATCH("Smelter List"&amp;ADDRESS(ROW(),COLUMN(),4),L!$A:$A,0)-1,SL,,)</f>
        <v>冶炼厂识别</v>
      </c>
      <c r="G4" s="249" t="str">
        <f ca="1">OFFSET(L!$C$1,MATCH("Smelter List"&amp;ADDRESS(ROW(),COLUMN(),4),L!$A:$A,0)-1,SL,,)</f>
        <v>冶炼厂出处识别号</v>
      </c>
      <c r="H4" s="166" t="str">
        <f ca="1">OFFSET(L!$C$1,MATCH("Smelter List"&amp;ADDRESS(ROW(),COLUMN(),4),L!$A:$A,0)-1,SL,,)</f>
        <v>冶炼厂所在街道</v>
      </c>
      <c r="I4" s="166" t="str">
        <f ca="1">OFFSET(L!$C$1,MATCH("Smelter List"&amp;ADDRESS(ROW(),COLUMN(),4),L!$A:$A,0)-1,SL,,)</f>
        <v>冶炼厂所在城市</v>
      </c>
      <c r="J4" s="166" t="str">
        <f ca="1">OFFSET(L!$C$1,MATCH("Smelter List"&amp;ADDRESS(ROW(),COLUMN(),4),L!$A:$A,0)-1,SL,,)</f>
        <v>冶炼厂地址：州/省</v>
      </c>
      <c r="K4" s="166" t="str">
        <f ca="1">OFFSET(L!$C$1,MATCH("Smelter List"&amp;ADDRESS(ROW(),COLUMN(),4),L!$A:$A,0)-1,SL,,)</f>
        <v>冶炼厂联系人</v>
      </c>
      <c r="L4" s="166" t="str">
        <f ca="1">OFFSET(L!$C$1,MATCH("Smelter List"&amp;ADDRESS(ROW(),COLUMN(),4),L!$A:$A,0)-1,SL,,)</f>
        <v>冶炼厂联系人电子邮件</v>
      </c>
      <c r="M4" s="166" t="str">
        <f ca="1">OFFSET(L!$C$1,MATCH("Smelter List"&amp;ADDRESS(ROW(),COLUMN(),4),L!$A:$A,0)-1,SL,,)</f>
        <v>建议的后续步骤</v>
      </c>
      <c r="N4" s="166" t="str">
        <f ca="1">OFFSET(L!$C$1,MATCH("Smelter List"&amp;ADDRESS(ROW(),COLUMN(),4),L!$A:$A,0)-1,SL,,)</f>
        <v>填写矿井名称，或如果所用矿产来自于回收料和报废料，请填写“回收”或“报废”。</v>
      </c>
      <c r="O4" s="166" t="str">
        <f ca="1">OFFSET(L!$C$1,MATCH("Smelter List"&amp;ADDRESS(ROW(),COLUMN(),4),L!$A:$A,0)-1,SL,,)</f>
        <v>填写矿井所在国家或地区，或如果所用矿产来自于回收料和报废料，请填写“回收”或“报废”。</v>
      </c>
      <c r="P4" s="166" t="str">
        <f ca="1">OFFSET(L!$C$1,MATCH("Smelter List"&amp;ADDRESS(ROW(),COLUMN(),4),L!$A:$A,0)-1,SL,,)</f>
        <v>冶炼厂的被冶炼物料是否 100% 来自于回收料或报废料？</v>
      </c>
      <c r="Q4" s="167" t="str">
        <f ca="1">OFFSET(L!$C$1,MATCH("Smelter List"&amp;ADDRESS(ROW(),COLUMN(),4),L!$A:$A,0)-1,SL,,)</f>
        <v>注释</v>
      </c>
      <c r="R4" s="249" t="s">
        <v>12499</v>
      </c>
      <c r="S4" s="249" t="s">
        <v>12482</v>
      </c>
      <c r="T4" s="249" t="s">
        <v>12483</v>
      </c>
      <c r="U4" s="229"/>
      <c r="V4" s="183"/>
      <c r="W4" s="183" t="s">
        <v>1324</v>
      </c>
      <c r="X4" s="183" t="s">
        <v>942</v>
      </c>
      <c r="Y4" s="183"/>
      <c r="Z4" s="183"/>
      <c r="AH4" s="167" t="s">
        <v>490</v>
      </c>
    </row>
    <row r="5" spans="1:34" s="264" customFormat="1" ht="19.899999999999999" customHeight="1">
      <c r="A5" s="316" t="s">
        <v>15664</v>
      </c>
      <c r="B5" s="208" t="s">
        <v>1130</v>
      </c>
      <c r="C5" s="212" t="s">
        <v>2327</v>
      </c>
      <c r="D5" s="270"/>
      <c r="E5" s="208" t="s">
        <v>1098</v>
      </c>
      <c r="F5" s="208" t="s">
        <v>707</v>
      </c>
      <c r="G5" s="208" t="s">
        <v>13320</v>
      </c>
      <c r="H5" s="209">
        <v>0</v>
      </c>
      <c r="I5" s="210" t="s">
        <v>1629</v>
      </c>
      <c r="J5" s="210" t="s">
        <v>1630</v>
      </c>
      <c r="K5" s="260"/>
      <c r="L5" s="260"/>
      <c r="M5" s="260"/>
      <c r="N5" s="260"/>
      <c r="O5" s="260"/>
      <c r="P5" s="211"/>
      <c r="Q5" s="261"/>
      <c r="R5" s="208" t="str">
        <f ca="1">IF(ISERROR($V5),"",OFFSET('Smelter Look-up'!$C$4,$V5-4,0)&amp;"")</f>
        <v>Metalor Technologies S.A.</v>
      </c>
      <c r="S5" s="215" t="str">
        <f t="shared" ref="S5" ca="1" si="0">IF(B5="","",IF(ISERROR(MATCH($E5,CL,0)),"Unknown",INDIRECT("'C'!$A$"&amp;MATCH($E5,CL,0)+1)))</f>
        <v>CH</v>
      </c>
      <c r="T5" s="215" t="str">
        <f ca="1">IF(B5="","",IF(ISERROR(MATCH($J5,SorP!$B$1:$B$6230,0)),"",INDIRECT("'SorP'!$A$"&amp;MATCH($J5,SorP!$B$1:$B$6230,0))))</f>
        <v>CH-NE</v>
      </c>
      <c r="U5" s="231"/>
      <c r="V5" s="262">
        <f>IF(C5="",NA(),IF(OR(C5="Smelter not listed",C5="Smelter not yet identified"),MATCH($B5&amp;$D5,'Smelter Look-up'!$J:$J,0),MATCH($B5&amp;$C5,'Smelter Look-up'!$J:$J,0)))</f>
        <v>176</v>
      </c>
      <c r="W5" s="263"/>
      <c r="X5" s="263">
        <f t="shared" ref="X5" si="1">IF(AND(C5="Smelter not listed",OR(LEN(D5)=0,LEN(E5)=0)),1,0)</f>
        <v>0</v>
      </c>
      <c r="Y5" s="263"/>
      <c r="Z5" s="263"/>
      <c r="AB5" s="265" t="str">
        <f t="shared" ref="AB5" si="2">B5&amp;C5</f>
        <v>GoldMetalor Technologies S.A.</v>
      </c>
    </row>
    <row r="6" spans="1:34" s="264" customFormat="1" ht="19.899999999999999" customHeight="1">
      <c r="A6" s="316" t="s">
        <v>15665</v>
      </c>
      <c r="B6" s="208" t="s">
        <v>1131</v>
      </c>
      <c r="C6" s="212" t="s">
        <v>13012</v>
      </c>
      <c r="D6" s="270"/>
      <c r="E6" s="208" t="s">
        <v>1095</v>
      </c>
      <c r="F6" s="208" t="s">
        <v>1829</v>
      </c>
      <c r="G6" s="208" t="s">
        <v>13320</v>
      </c>
      <c r="H6" s="209">
        <v>0</v>
      </c>
      <c r="I6" s="210" t="s">
        <v>1830</v>
      </c>
      <c r="J6" s="210" t="s">
        <v>3177</v>
      </c>
      <c r="K6" s="260"/>
      <c r="L6" s="260"/>
      <c r="M6" s="260"/>
      <c r="N6" s="260"/>
      <c r="O6" s="260"/>
      <c r="P6" s="211"/>
      <c r="Q6" s="261"/>
      <c r="R6" s="208" t="str">
        <f ca="1">IF(ISERROR($V6),"",OFFSET('Smelter Look-up'!$C$4,$V6-4,0)&amp;"")</f>
        <v>Metallo Belgium N.V.</v>
      </c>
      <c r="S6" s="215" t="str">
        <f t="shared" ref="S6:S37" ca="1" si="3">IF(B6="","",IF(ISERROR(MATCH($E6,CL,0)),"Unknown",INDIRECT("'C'!$A$"&amp;MATCH($E6,CL,0)+1)))</f>
        <v>BE</v>
      </c>
      <c r="T6" s="215" t="str">
        <f ca="1">IF(B6="","",IF(ISERROR(MATCH($J6,SorP!$B$1:$B$6230,0)),"",INDIRECT("'SorP'!$A$"&amp;MATCH($J6,SorP!$B$1:$B$6230,0))))</f>
        <v>BE-VAN</v>
      </c>
      <c r="U6" s="231"/>
      <c r="V6" s="262">
        <f>IF(C6="",NA(),IF(OR(C6="Smelter not listed",C6="Smelter not yet identified"),MATCH($B6&amp;$D6,'Smelter Look-up'!$J:$J,0),MATCH($B6&amp;$C6,'Smelter Look-up'!$J:$J,0)))</f>
        <v>462</v>
      </c>
      <c r="W6" s="263"/>
      <c r="X6" s="263">
        <f t="shared" ref="X6:X37" si="4">IF(AND(C6="Smelter not listed",OR(LEN(D6)=0,LEN(E6)=0)),1,0)</f>
        <v>0</v>
      </c>
      <c r="Y6" s="263"/>
      <c r="Z6" s="263"/>
      <c r="AB6" s="265" t="str">
        <f t="shared" ref="AB6:AB37" si="5">B6&amp;C6</f>
        <v>TinMetallo Belgium N.V.</v>
      </c>
    </row>
    <row r="7" spans="1:34" s="264" customFormat="1" ht="19.899999999999999" customHeight="1">
      <c r="A7" s="316" t="s">
        <v>15666</v>
      </c>
      <c r="B7" s="208" t="s">
        <v>1131</v>
      </c>
      <c r="C7" s="212" t="s">
        <v>1164</v>
      </c>
      <c r="D7" s="270"/>
      <c r="E7" s="208" t="s">
        <v>1108</v>
      </c>
      <c r="F7" s="208" t="s">
        <v>777</v>
      </c>
      <c r="G7" s="208" t="s">
        <v>13320</v>
      </c>
      <c r="H7" s="209">
        <v>0</v>
      </c>
      <c r="I7" s="210" t="s">
        <v>1548</v>
      </c>
      <c r="J7" s="210" t="s">
        <v>1548</v>
      </c>
      <c r="K7" s="260"/>
      <c r="L7" s="260"/>
      <c r="M7" s="260"/>
      <c r="N7" s="260"/>
      <c r="O7" s="260"/>
      <c r="P7" s="211"/>
      <c r="Q7" s="261"/>
      <c r="R7" s="208" t="str">
        <f ca="1">IF(ISERROR($V7),"",OFFSET('Smelter Look-up'!$C$4,$V7-4,0)&amp;"")</f>
        <v>Mitsubishi Materials Corporation</v>
      </c>
      <c r="S7" s="215" t="str">
        <f t="shared" ca="1" si="3"/>
        <v>JP</v>
      </c>
      <c r="T7" s="215" t="str">
        <f ca="1">IF(B7="","",IF(ISERROR(MATCH($J7,SorP!$B$1:$B$6230,0)),"",INDIRECT("'SorP'!$A$"&amp;MATCH($J7,SorP!$B$1:$B$6230,0))))</f>
        <v>JP-13</v>
      </c>
      <c r="U7" s="231"/>
      <c r="V7" s="262">
        <f>IF(C7="",NA(),IF(OR(C7="Smelter not listed",C7="Smelter not yet identified"),MATCH($B7&amp;$D7,'Smelter Look-up'!$J:$J,0),MATCH($B7&amp;$C7,'Smelter Look-up'!$J:$J,0)))</f>
        <v>469</v>
      </c>
      <c r="W7" s="263"/>
      <c r="X7" s="263">
        <f t="shared" si="4"/>
        <v>0</v>
      </c>
      <c r="Y7" s="263"/>
      <c r="Z7" s="263"/>
      <c r="AB7" s="265" t="str">
        <f t="shared" si="5"/>
        <v>TinMitsubishi Materials Corporation</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586:B2504">
    <cfRule type="expression" dxfId="66" priority="48" stopIfTrue="1">
      <formula>IF(B586="",TRUE)</formula>
    </cfRule>
    <cfRule type="expression" dxfId="65" priority="59" stopIfTrue="1">
      <formula>IF(AND(COUNTIF(MetalSmelter,B586&amp;C586)=0,LEN(C586)&gt;0),TRUE,FALSE)</formula>
    </cfRule>
  </conditionalFormatting>
  <conditionalFormatting sqref="R586:R2505 E586:E2504">
    <cfRule type="expression" dxfId="64" priority="55" stopIfTrue="1">
      <formula>IF(AND(E586="",$C586=$X$4),TRUE)</formula>
    </cfRule>
    <cfRule type="expression" dxfId="63" priority="56" stopIfTrue="1">
      <formula>IF(FIND("!",E586),TRUE)</formula>
    </cfRule>
  </conditionalFormatting>
  <conditionalFormatting sqref="F586:F2504">
    <cfRule type="expression" dxfId="62" priority="46" stopIfTrue="1">
      <formula>IF(AND(LEN($A586)&gt;0,$A586&lt;&gt;$F586),TRUE,FALSE)</formula>
    </cfRule>
  </conditionalFormatting>
  <conditionalFormatting sqref="C586:C2504">
    <cfRule type="expression" dxfId="61" priority="45" stopIfTrue="1">
      <formula>IF(AND(B586&lt;&gt;"",C586=""),TRUE)</formula>
    </cfRule>
  </conditionalFormatting>
  <conditionalFormatting sqref="B21:B585 B8:B19">
    <cfRule type="expression" dxfId="60" priority="24" stopIfTrue="1">
      <formula>IF(B8="",TRUE)</formula>
    </cfRule>
    <cfRule type="expression" dxfId="59" priority="27" stopIfTrue="1">
      <formula>IF(AND(COUNTIF(MetalSmelter,B8&amp;C8)=0,LEN(C8)&gt;0),TRUE,FALSE)</formula>
    </cfRule>
  </conditionalFormatting>
  <conditionalFormatting sqref="G8:G2504">
    <cfRule type="expression" dxfId="58" priority="30" stopIfTrue="1">
      <formula>IF(FIND("Enter smelter details",G8),TRUE)</formula>
    </cfRule>
  </conditionalFormatting>
  <conditionalFormatting sqref="R5:R585 E21:E585 E8:E19">
    <cfRule type="expression" dxfId="57" priority="25" stopIfTrue="1">
      <formula>IF(AND(E5="",$C5=$X$4),TRUE)</formula>
    </cfRule>
    <cfRule type="expression" dxfId="56" priority="26" stopIfTrue="1">
      <formula>IF(FIND("!",E5),TRUE)</formula>
    </cfRule>
  </conditionalFormatting>
  <conditionalFormatting sqref="F8:F19 F21:F585">
    <cfRule type="expression" dxfId="55" priority="23" stopIfTrue="1">
      <formula>IF(AND(LEN($A8)&gt;0,$A8&lt;&gt;$F8),TRUE,FALSE)</formula>
    </cfRule>
  </conditionalFormatting>
  <conditionalFormatting sqref="C21:C585 C8:C19">
    <cfRule type="expression" dxfId="54" priority="22" stopIfTrue="1">
      <formula>IF(AND(B8&lt;&gt;"",C8=""),TRUE)</formula>
    </cfRule>
  </conditionalFormatting>
  <conditionalFormatting sqref="B20">
    <cfRule type="expression" dxfId="53" priority="14" stopIfTrue="1">
      <formula>IF(B20="",TRUE)</formula>
    </cfRule>
    <cfRule type="expression" dxfId="52" priority="17" stopIfTrue="1">
      <formula>IF(AND(COUNTIF(MetalSmelter,B20&amp;C20)=0,LEN(C20)&gt;0),TRUE,FALSE)</formula>
    </cfRule>
  </conditionalFormatting>
  <conditionalFormatting sqref="E20">
    <cfRule type="expression" dxfId="51" priority="15" stopIfTrue="1">
      <formula>IF(AND(E20="",$C20=$X$4),TRUE)</formula>
    </cfRule>
    <cfRule type="expression" dxfId="50" priority="16" stopIfTrue="1">
      <formula>IF(FIND("!",E20),TRUE)</formula>
    </cfRule>
  </conditionalFormatting>
  <conditionalFormatting sqref="F20">
    <cfRule type="expression" dxfId="49" priority="13" stopIfTrue="1">
      <formula>IF(AND(LEN($A20)&gt;0,$A20&lt;&gt;$F20),TRUE,FALSE)</formula>
    </cfRule>
  </conditionalFormatting>
  <conditionalFormatting sqref="C20">
    <cfRule type="expression" dxfId="48" priority="12" stopIfTrue="1">
      <formula>IF(AND(B20&lt;&gt;"",C20=""),TRUE)</formula>
    </cfRule>
  </conditionalFormatting>
  <conditionalFormatting sqref="D8:D2504">
    <cfRule type="expression" dxfId="47" priority="21" stopIfTrue="1">
      <formula>IF(AND(LEN($C8)&gt;0,AND($C8&lt;&gt;"Smelter Not Listed",ISBLANK($D8))),1,0)</formula>
    </cfRule>
    <cfRule type="expression" dxfId="46" priority="28" stopIfTrue="1">
      <formula>IF(AND(D8="",$C8=$X$4),TRUE)</formula>
    </cfRule>
    <cfRule type="expression" dxfId="45" priority="29" stopIfTrue="1">
      <formula>IF(FIND("!",D8),TRUE)</formula>
    </cfRule>
  </conditionalFormatting>
  <conditionalFormatting sqref="G5:G7">
    <cfRule type="expression" dxfId="19" priority="10" stopIfTrue="1">
      <formula>IF(FIND("Enter smelter details",G5),TRUE)</formula>
    </cfRule>
  </conditionalFormatting>
  <conditionalFormatting sqref="D5:D7">
    <cfRule type="expression" dxfId="17" priority="1" stopIfTrue="1">
      <formula>IF(AND(LEN($C5)&gt;0,AND($C5&lt;&gt;"Smelter Not Listed",ISBLANK($D5))),1,0)</formula>
    </cfRule>
    <cfRule type="expression" dxfId="16" priority="8" stopIfTrue="1">
      <formula>IF(AND(D5="",$C5=$X$4),TRUE)</formula>
    </cfRule>
    <cfRule type="expression" dxfId="15" priority="9" stopIfTrue="1">
      <formula>IF(FIND("!",D5),TRUE)</formula>
    </cfRule>
  </conditionalFormatting>
  <conditionalFormatting sqref="B5:B7">
    <cfRule type="expression" dxfId="11" priority="4" stopIfTrue="1">
      <formula>IF(B5="",TRUE)</formula>
    </cfRule>
    <cfRule type="expression" dxfId="10" priority="7" stopIfTrue="1">
      <formula>IF(AND(COUNTIF(MetalSmelter,B5&amp;C5)=0,LEN(C5)&gt;0),TRUE,FALSE)</formula>
    </cfRule>
  </conditionalFormatting>
  <conditionalFormatting sqref="C5:C7">
    <cfRule type="expression" dxfId="7" priority="2" stopIfTrue="1">
      <formula>IF(AND(B5&lt;&gt;"",C5=""),TRUE)</formula>
    </cfRule>
  </conditionalFormatting>
  <conditionalFormatting sqref="E5:E7">
    <cfRule type="expression" dxfId="5" priority="5" stopIfTrue="1">
      <formula>IF(AND(E5="",$C5=$X$4),TRUE)</formula>
    </cfRule>
    <cfRule type="expression" dxfId="4" priority="6" stopIfTrue="1">
      <formula>IF(FIND("!",E5),TRUE)</formula>
    </cfRule>
  </conditionalFormatting>
  <conditionalFormatting sqref="F5:F7">
    <cfRule type="expression" dxfId="1" priority="3"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3" t="str">
        <f ca="1">OFFSET(L!$C$1,MATCH("Checker"&amp;ADDRESS(ROW(),COLUMN(),4),L!$A:$A,0)-1,SL,,)</f>
        <v>将报告提交给客户以检查表格高亮显示为红色的任何行之前， 请确保已填妥所有必填字段。</v>
      </c>
      <c r="B1" s="453"/>
      <c r="C1" s="453"/>
      <c r="D1" s="140" t="str">
        <f ca="1">OFFSET(L!$C$1,MATCH("Checker"&amp;ADDRESS(ROW(),COLUMN(),4),L!$A:$A,0)-1,SL,,)</f>
        <v>待完成的必填字段</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必填字段</v>
      </c>
      <c r="B3" s="76" t="str">
        <f ca="1">OFFSET(L!$C$1,MATCH("Checker"&amp;ADDRESS(ROW(),COLUMN(),4),L!$A:$A,0)-1,SL,,)</f>
        <v>已提供的答案</v>
      </c>
      <c r="C3" s="76" t="str">
        <f ca="1">OFFSET(L!$C$1,MATCH("Checker"&amp;ADDRESS(ROW(),COLUMN(),4),L!$A:$A,0)-1,SL,,)</f>
        <v>备注</v>
      </c>
      <c r="D3" s="76" t="str">
        <f ca="1">OFFSET(L!$C$1,MATCH("Checker"&amp;ADDRESS(ROW(),COLUMN(),4),L!$A:$A,0)-1,SL,,)</f>
        <v>信息源超链接</v>
      </c>
      <c r="F3" s="77" t="s">
        <v>527</v>
      </c>
      <c r="G3" s="22" t="s">
        <v>526</v>
      </c>
      <c r="H3" s="22" t="s">
        <v>528</v>
      </c>
      <c r="I3" s="169" t="s">
        <v>1317</v>
      </c>
      <c r="J3" s="22" t="s">
        <v>1318</v>
      </c>
    </row>
    <row r="4" spans="1:10" ht="39">
      <c r="A4" s="100" t="str">
        <f ca="1">Declaration!B8</f>
        <v>公司名称 (*)：</v>
      </c>
      <c r="B4" s="99" t="str">
        <f>Declaration!D8</f>
        <v>昆山德朋电子科技有限公司</v>
      </c>
      <c r="C4" s="99" t="str">
        <f t="shared" ref="C4" ca="1" si="0">IF(H4=1,J4,I4)</f>
        <v>填写</v>
      </c>
      <c r="D4" s="105" t="str">
        <f>IF(H4=1,"Click here to enter Company Name","")</f>
        <v/>
      </c>
      <c r="E4" s="81" t="s">
        <v>1307</v>
      </c>
      <c r="F4" s="103">
        <v>1</v>
      </c>
      <c r="G4" s="78">
        <f t="shared" ref="G4" si="1">IF(B4=0,1,0)</f>
        <v>0</v>
      </c>
      <c r="H4" s="79">
        <f>F4*G4</f>
        <v>0</v>
      </c>
      <c r="I4" s="170" t="str">
        <f ca="1">OFFSET(L!$C$1,MATCH("Checker"&amp;"Comp",L!$A:$A,0)-1,SL,,)</f>
        <v>填写</v>
      </c>
      <c r="J4" s="171" t="str">
        <f ca="1">OFFSET(L!$C$1,MATCH("Checker"&amp;ADDRESS(ROW(),COLUMN(),4),L!$A:$A,0)-1,SL,,)</f>
        <v>在“申报”选项卡 D8 单元格中，提供贵公司的名称</v>
      </c>
    </row>
    <row r="5" spans="1:10" ht="39">
      <c r="A5" s="100" t="str">
        <f ca="1">Declaration!B9</f>
        <v>申报范围或种类 (*)：</v>
      </c>
      <c r="B5" s="99" t="str">
        <f>Declaration!D9</f>
        <v>A. Company</v>
      </c>
      <c r="C5" s="99" t="str">
        <f ca="1">IF(H5=1,J5,I5)</f>
        <v>填写</v>
      </c>
      <c r="D5" s="105" t="str">
        <f>IF(H5=1,"Click here to enter Declaration Scope","")</f>
        <v/>
      </c>
      <c r="E5" s="81" t="s">
        <v>1307</v>
      </c>
      <c r="F5" s="103">
        <v>1</v>
      </c>
      <c r="G5" s="78">
        <f>IF(B5=0,1,0)</f>
        <v>0</v>
      </c>
      <c r="H5" s="79">
        <f t="shared" ref="H5" si="2">F5*G5</f>
        <v>0</v>
      </c>
      <c r="I5" s="170" t="str">
        <f ca="1">OFFSET(L!$C$1,MATCH("Checker"&amp;"Comp",L!$A:$A,0)-1,SL,,)</f>
        <v>填写</v>
      </c>
      <c r="J5" s="171" t="str">
        <f ca="1">OFFSET(L!$C$1,MATCH("Checker"&amp;ADDRESS(ROW(),COLUMN(),4),L!$A:$A,0)-1,SL,,)</f>
        <v>在“申报”选项卡 D9 单元格中，选择申报范围</v>
      </c>
    </row>
    <row r="6" spans="1:10" ht="39">
      <c r="A6" s="100" t="str">
        <f ca="1">Declaration!B10</f>
        <v>范围描述：</v>
      </c>
      <c r="B6" s="99">
        <f>Declaration!D10</f>
        <v>0</v>
      </c>
      <c r="C6" s="99" t="str">
        <f ca="1">IF(H6=1,J6,I6)</f>
        <v>填写</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填写</v>
      </c>
      <c r="J6" s="22" t="str">
        <f ca="1">OFFSET(L!$C$1,MATCH("Checker"&amp;ADDRESS(ROW(),COLUMN(),4),L!$A:$A,0)-1,SL,,)</f>
        <v>在“申报”选项卡 D10 单元格中，提供范围说明</v>
      </c>
    </row>
    <row r="7" spans="1:10" ht="39">
      <c r="A7" s="100" t="str">
        <f ca="1">Declaration!B15</f>
        <v>联系人姓名 (*)：</v>
      </c>
      <c r="B7" s="99" t="str">
        <f>Declaration!D15</f>
        <v>敖苏娟</v>
      </c>
      <c r="C7" s="99" t="str">
        <f ca="1">IF(H7=1,J7,I7)</f>
        <v>填写</v>
      </c>
      <c r="D7" s="105" t="str">
        <f>IF(H7=1,"Click here to enter Contact Name","")</f>
        <v/>
      </c>
      <c r="E7" s="81" t="s">
        <v>1307</v>
      </c>
      <c r="F7" s="142">
        <v>1</v>
      </c>
      <c r="G7" s="78">
        <f>IF(B7=0,1,0)</f>
        <v>0</v>
      </c>
      <c r="H7" s="79">
        <f t="shared" si="3"/>
        <v>0</v>
      </c>
      <c r="I7" s="170" t="str">
        <f ca="1">OFFSET(L!$C$1,MATCH("Checker"&amp;"Comp",L!$A:$A,0)-1,SL,,)</f>
        <v>填写</v>
      </c>
      <c r="J7" s="22" t="str">
        <f ca="1">OFFSET(L!$C$1,MATCH("Checker"&amp;ADDRESS(ROW(),COLUMN(),4),L!$A:$A,0)-1,SL,,)</f>
        <v>在“申报”选项卡 D15 单元格中，提供联系人姓名</v>
      </c>
    </row>
    <row r="8" spans="1:10" ht="39">
      <c r="A8" s="100" t="str">
        <f ca="1">Declaration!B16</f>
        <v>电子邮件 - 联系人 (*)：</v>
      </c>
      <c r="B8" s="99" t="str">
        <f>Declaration!D16</f>
        <v>karol.ao@drapho.com</v>
      </c>
      <c r="C8" s="99" t="str">
        <f ca="1">IF(H8=1,J8,I8)</f>
        <v>填写</v>
      </c>
      <c r="D8" s="105" t="str">
        <f>IF(H8=1,"Click here to enter Email-Contact","")</f>
        <v/>
      </c>
      <c r="E8" s="81" t="s">
        <v>1307</v>
      </c>
      <c r="F8" s="142">
        <v>1</v>
      </c>
      <c r="G8" s="78">
        <f>IF(ISNUMBER(SEARCH("@",B8)),0,1)</f>
        <v>0</v>
      </c>
      <c r="H8" s="79">
        <f t="shared" si="3"/>
        <v>0</v>
      </c>
      <c r="I8" s="170" t="str">
        <f ca="1">OFFSET(L!$C$1,MATCH("Checker"&amp;"Comp",L!$A:$A,0)-1,SL,,)</f>
        <v>填写</v>
      </c>
      <c r="J8" s="22" t="str">
        <f ca="1">OFFSET(L!$C$1,MATCH("Checker"&amp;ADDRESS(ROW(),COLUMN(),4),L!$A:$A,0)-1,SL,,)</f>
        <v>在“申报”选项卡 D16 单元格中，提供联系人的有效电子邮件</v>
      </c>
    </row>
    <row r="9" spans="1:10" ht="39">
      <c r="A9" s="100" t="str">
        <f ca="1">Declaration!B17</f>
        <v>电话 - 联系人 (*)：</v>
      </c>
      <c r="B9" s="346" t="str">
        <f>Declaration!D17</f>
        <v>0512-36805164</v>
      </c>
      <c r="C9" s="99" t="str">
        <f ca="1">IF(H9=1,J9,I9)</f>
        <v>填写</v>
      </c>
      <c r="D9" s="105" t="str">
        <f>IF(H9=1,"Click here to enter Phone-Contact","")</f>
        <v/>
      </c>
      <c r="E9" s="81" t="s">
        <v>1307</v>
      </c>
      <c r="F9" s="142">
        <v>1</v>
      </c>
      <c r="G9" s="78">
        <f>IF(B9=0,1,0)</f>
        <v>0</v>
      </c>
      <c r="H9" s="79">
        <f t="shared" si="3"/>
        <v>0</v>
      </c>
      <c r="I9" s="170" t="str">
        <f ca="1">OFFSET(L!$C$1,MATCH("Checker"&amp;"Comp",L!$A:$A,0)-1,SL,,)</f>
        <v>填写</v>
      </c>
      <c r="J9" s="22" t="str">
        <f ca="1">OFFSET(L!$C$1,MATCH("Checker"&amp;ADDRESS(ROW(),COLUMN(),4),L!$A:$A,0)-1,SL,,)</f>
        <v>在“申报”选项卡 D17 单元格中，提供联系人的电话号码</v>
      </c>
    </row>
    <row r="10" spans="1:10" ht="39">
      <c r="A10" s="100" t="str">
        <f ca="1">Declaration!B18</f>
        <v>授权人 (*)：</v>
      </c>
      <c r="B10" s="99" t="str">
        <f>Declaration!D18</f>
        <v>方志宏</v>
      </c>
      <c r="C10" s="99" t="str">
        <f t="shared" ref="C10" ca="1" si="4">IF(H10=1,J10,I10)</f>
        <v>填写</v>
      </c>
      <c r="D10" s="105" t="str">
        <f>IF(H10=1,"Click here to enter an Authorized Company Representative's name","")</f>
        <v/>
      </c>
      <c r="E10" s="81" t="s">
        <v>1307</v>
      </c>
      <c r="F10" s="103">
        <v>1</v>
      </c>
      <c r="G10" s="78">
        <f t="shared" ref="G10" si="5">IF(B10=0,1,0)</f>
        <v>0</v>
      </c>
      <c r="H10" s="79">
        <f t="shared" si="3"/>
        <v>0</v>
      </c>
      <c r="I10" s="170" t="str">
        <f ca="1">OFFSET(L!$C$1,MATCH("Checker"&amp;"Comp",L!$A:$A,0)-1,SL,,)</f>
        <v>填写</v>
      </c>
      <c r="J10" s="22" t="str">
        <f ca="1">OFFSET(L!$C$1,MATCH("Checker"&amp;ADDRESS(ROW(),COLUMN(),4),L!$A:$A,0)-1,SL,,)</f>
        <v>在“申报”选项卡 D18 单元格中，提供授权公司代表联系人姓名</v>
      </c>
    </row>
    <row r="11" spans="1:10" ht="39">
      <c r="A11" s="100" t="str">
        <f ca="1">Declaration!B20</f>
        <v>电子邮件 - 授权人 (*)：</v>
      </c>
      <c r="B11" s="99" t="str">
        <f>Declaration!D20</f>
        <v>fan.fang@drapho.com</v>
      </c>
      <c r="C11" s="99" t="str">
        <f ca="1">IF(H11=1,J11,I11)</f>
        <v>填写</v>
      </c>
      <c r="D11" s="105" t="str">
        <f>IF(H11=1,"Click here to enter Representative's email","")</f>
        <v/>
      </c>
      <c r="E11" s="81" t="s">
        <v>1307</v>
      </c>
      <c r="F11" s="103">
        <v>1</v>
      </c>
      <c r="G11" s="78">
        <f>IF(ISNUMBER(SEARCH("@",B11)),0,1)</f>
        <v>0</v>
      </c>
      <c r="H11" s="79">
        <f t="shared" si="3"/>
        <v>0</v>
      </c>
      <c r="I11" s="170" t="str">
        <f ca="1">OFFSET(L!$C$1,MATCH("Checker"&amp;"Comp",L!$A:$A,0)-1,SL,,)</f>
        <v>填写</v>
      </c>
      <c r="J11" s="22" t="str">
        <f ca="1">OFFSET(L!$C$1,MATCH("Checker"&amp;ADDRESS(ROW(),COLUMN(),4),L!$A:$A,0)-1,SL,,)</f>
        <v>在“申报”选项卡 D20 单元格中，提供授权公司代表的有效电子邮件</v>
      </c>
    </row>
    <row r="12" spans="1:10" ht="39">
      <c r="A12" s="100" t="str">
        <f ca="1">Declaration!B22</f>
        <v>生效日期 (*)：</v>
      </c>
      <c r="B12" s="101">
        <f>Declaration!D22</f>
        <v>44937</v>
      </c>
      <c r="C12" s="99" t="str">
        <f ca="1">IF(H12=1,J12,I12)</f>
        <v>填写</v>
      </c>
      <c r="D12" s="105" t="str">
        <f>IF(H12=1,"Click here to enter Date of Completion","")</f>
        <v/>
      </c>
      <c r="E12" s="81" t="s">
        <v>1307</v>
      </c>
      <c r="F12" s="103">
        <v>1</v>
      </c>
      <c r="G12" s="78">
        <f>IF(B12=0,1,0)</f>
        <v>0</v>
      </c>
      <c r="H12" s="79">
        <f t="shared" si="3"/>
        <v>0</v>
      </c>
      <c r="I12" s="170" t="str">
        <f ca="1">OFFSET(L!$C$1,MATCH("Checker"&amp;"Comp",L!$A:$A,0)-1,SL,,)</f>
        <v>填写</v>
      </c>
      <c r="J12" s="22" t="str">
        <f ca="1">OFFSET(L!$C$1,MATCH("Checker"&amp;ADDRESS(ROW(),COLUMN(),4),L!$A:$A,0)-1,SL,,)</f>
        <v>在“申报”选项卡 D22 单元格中，提供表格填写日期</v>
      </c>
    </row>
    <row r="13" spans="1:10" ht="63.75">
      <c r="A13" s="99" t="str">
        <f ca="1">Declaration!B25</f>
        <v>1) 是否在产品或生产流程中有意添加或使用任何 3TG？(*)</v>
      </c>
      <c r="B13" s="102"/>
      <c r="C13" s="102"/>
      <c r="D13" s="106"/>
      <c r="E13" s="81" t="s">
        <v>810</v>
      </c>
      <c r="F13" s="103"/>
      <c r="G13" s="24"/>
      <c r="H13" s="80">
        <f t="shared" si="3"/>
        <v>0</v>
      </c>
    </row>
    <row r="14" spans="1:10" ht="26.25">
      <c r="A14" s="100" t="str">
        <f ca="1">Declaration!B26</f>
        <v>钽</v>
      </c>
      <c r="B14" s="99" t="str">
        <f>Declaration!D26</f>
        <v>No</v>
      </c>
      <c r="C14" s="99" t="str">
        <f ca="1">IF(H14=1,J14,I14)</f>
        <v>填写</v>
      </c>
      <c r="D14" s="105" t="str">
        <f>IF(H14=1,"Click here to answer question 1 for Tantalum","")</f>
        <v/>
      </c>
      <c r="E14" s="81" t="s">
        <v>806</v>
      </c>
      <c r="F14" s="103">
        <v>1</v>
      </c>
      <c r="G14" s="78">
        <f>IF(B14=0,1,0)</f>
        <v>0</v>
      </c>
      <c r="H14" s="79">
        <f t="shared" si="3"/>
        <v>0</v>
      </c>
      <c r="I14" s="170" t="str">
        <f ca="1">OFFSET(L!$C$1,MATCH("Checker"&amp;"Comp",L!$A:$A,0)-1,SL,,)</f>
        <v>填写</v>
      </c>
      <c r="J14" s="171" t="str">
        <f ca="1">OFFSET(L!$C$1,MATCH("Checker"&amp;ADDRESS(ROW(),COLUMN(),4),L!$A:$A,0)-1,SL,,)</f>
        <v>在“申报”选项卡 D26 单元格中，申报是否有意将钽添加至贵公司的产品中</v>
      </c>
    </row>
    <row r="15" spans="1:10" ht="39">
      <c r="A15" s="100" t="str">
        <f ca="1">Declaration!B27</f>
        <v>锡(*)</v>
      </c>
      <c r="B15" s="99" t="str">
        <f>Declaration!D27</f>
        <v>Yes</v>
      </c>
      <c r="C15" s="99" t="str">
        <f ca="1">IF(H15=1,J15,I15)</f>
        <v>填写</v>
      </c>
      <c r="D15" s="105" t="str">
        <f>IF(H15=1,"Click here to answer question 1 for Tin","")</f>
        <v/>
      </c>
      <c r="E15" s="81" t="s">
        <v>807</v>
      </c>
      <c r="F15" s="103">
        <v>1</v>
      </c>
      <c r="G15" s="78">
        <f>IF(B15=0,1,0)</f>
        <v>0</v>
      </c>
      <c r="H15" s="79">
        <f t="shared" si="3"/>
        <v>0</v>
      </c>
      <c r="I15" s="170" t="str">
        <f ca="1">OFFSET(L!$C$1,MATCH("Checker"&amp;"Comp",L!$A:$A,0)-1,SL,,)</f>
        <v>填写</v>
      </c>
      <c r="J15" s="171" t="str">
        <f ca="1">OFFSET(L!$C$1,MATCH("Checker"&amp;ADDRESS(ROW(),COLUMN(),4),L!$A:$A,0)-1,SL,,)</f>
        <v>在“申报”选项卡 D27 单元格中，申报是否有意将锡添加至贵公司的产品中</v>
      </c>
    </row>
    <row r="16" spans="1:10" ht="39">
      <c r="A16" s="100" t="str">
        <f ca="1">Declaration!B28</f>
        <v>金(*)</v>
      </c>
      <c r="B16" s="99" t="str">
        <f>Declaration!D28</f>
        <v>Yes</v>
      </c>
      <c r="C16" s="99" t="str">
        <f ca="1">IF(H16=1,J16,I16)</f>
        <v>填写</v>
      </c>
      <c r="D16" s="105" t="str">
        <f>IF(H16=1,"Click here to answer question 1 for Gold","")</f>
        <v/>
      </c>
      <c r="E16" s="81" t="s">
        <v>807</v>
      </c>
      <c r="F16" s="103">
        <v>1</v>
      </c>
      <c r="G16" s="78">
        <f>IF(B16=0,1,0)</f>
        <v>0</v>
      </c>
      <c r="H16" s="79">
        <f t="shared" si="3"/>
        <v>0</v>
      </c>
      <c r="I16" s="170" t="str">
        <f ca="1">OFFSET(L!$C$1,MATCH("Checker"&amp;"Comp",L!$A:$A,0)-1,SL,,)</f>
        <v>填写</v>
      </c>
      <c r="J16" s="171" t="str">
        <f ca="1">OFFSET(L!$C$1,MATCH("Checker"&amp;ADDRESS(ROW(),COLUMN(),4),L!$A:$A,0)-1,SL,,)</f>
        <v>在“申报”选项卡 D28 单元格中，申报是否有意将金添加至贵公司的产品中</v>
      </c>
    </row>
    <row r="17" spans="1:10" ht="39">
      <c r="A17" s="100" t="str">
        <f ca="1">Declaration!B29</f>
        <v>钨</v>
      </c>
      <c r="B17" s="99" t="str">
        <f>Declaration!D29</f>
        <v>No</v>
      </c>
      <c r="C17" s="99" t="str">
        <f ca="1">IF(H17=1,J17,I17)</f>
        <v>填写</v>
      </c>
      <c r="D17" s="105" t="str">
        <f>IF(H17=1,"Click here to answer question 1 for Tungsten","")</f>
        <v/>
      </c>
      <c r="E17" s="81" t="s">
        <v>807</v>
      </c>
      <c r="F17" s="103">
        <v>1</v>
      </c>
      <c r="G17" s="78">
        <f>IF(B17=0,1,0)</f>
        <v>0</v>
      </c>
      <c r="H17" s="79">
        <f t="shared" si="3"/>
        <v>0</v>
      </c>
      <c r="I17" s="170" t="str">
        <f ca="1">OFFSET(L!$C$1,MATCH("Checker"&amp;"Comp",L!$A:$A,0)-1,SL,,)</f>
        <v>填写</v>
      </c>
      <c r="J17" s="171" t="str">
        <f ca="1">OFFSET(L!$C$1,MATCH("Checker"&amp;ADDRESS(ROW(),COLUMN(),4),L!$A:$A,0)-1,SL,,)</f>
        <v>在“申报”选项卡 D29 单元格中，申报是否有意将钨添加至贵公司的产品中</v>
      </c>
    </row>
    <row r="18" spans="1:10" ht="51">
      <c r="A18" s="99" t="str">
        <f ca="1">Declaration!B31</f>
        <v>2) 是否有任何 3TG 仍存在于产品中？ (*)</v>
      </c>
      <c r="B18" s="102"/>
      <c r="C18" s="102"/>
      <c r="D18" s="106"/>
      <c r="E18" s="81" t="s">
        <v>808</v>
      </c>
      <c r="F18" s="103"/>
      <c r="G18" s="24"/>
      <c r="H18" s="24"/>
      <c r="J18" s="171"/>
    </row>
    <row r="19" spans="1:10" ht="39">
      <c r="A19" s="100" t="str">
        <f ca="1">Declaration!B32</f>
        <v>钽</v>
      </c>
      <c r="B19" s="99">
        <f>IF($B$14="Yes",Declaration!D32,0)</f>
        <v>0</v>
      </c>
      <c r="C19" s="99" t="str">
        <f ca="1">IF(H19=1,J19,I19)</f>
        <v>填写</v>
      </c>
      <c r="D19" s="107" t="str">
        <f>IF(H19=1,"Click here to answer question 2 for Tantalum","")</f>
        <v/>
      </c>
      <c r="E19" s="81" t="s">
        <v>807</v>
      </c>
      <c r="F19" s="104">
        <f>IF(B$14="No",0,1)</f>
        <v>0</v>
      </c>
      <c r="G19" s="78">
        <f>IF(B19=0,1,0)</f>
        <v>1</v>
      </c>
      <c r="H19" s="79">
        <f>F19*G19</f>
        <v>0</v>
      </c>
      <c r="I19" s="170" t="str">
        <f ca="1">OFFSET(L!$C$1,MATCH("Checker"&amp;"Comp",L!$A:$A,0)-1,SL,,)</f>
        <v>填写</v>
      </c>
      <c r="J19" s="171" t="str">
        <f ca="1">OFFSET(L!$C$1,MATCH("Checker"&amp;ADDRESS(ROW(),COLUMN(),4),L!$A:$A,0)-1,SL,,)</f>
        <v>在“申报”选项卡 D32 单元格中，申报钽是否必须用于贵公司产品的生产中，并且包含在申报的成品内</v>
      </c>
    </row>
    <row r="20" spans="1:10" ht="39">
      <c r="A20" s="100" t="str">
        <f ca="1">Declaration!B33</f>
        <v>锡(*)</v>
      </c>
      <c r="B20" s="99" t="str">
        <f>IF($B$15="Yes",Declaration!D33,0)</f>
        <v>Yes</v>
      </c>
      <c r="C20" s="99" t="str">
        <f ca="1">IF(H20=1,J20,I20)</f>
        <v>填写</v>
      </c>
      <c r="D20" s="107" t="str">
        <f>IF(H20=1,"Click here to answer question 2 for Tin","")</f>
        <v/>
      </c>
      <c r="E20" s="81" t="s">
        <v>807</v>
      </c>
      <c r="F20" s="104">
        <f>IF(B$15="No",0,1)</f>
        <v>1</v>
      </c>
      <c r="G20" s="78">
        <f>IF(B20=0,1,0)</f>
        <v>0</v>
      </c>
      <c r="H20" s="79">
        <f>F20*G20</f>
        <v>0</v>
      </c>
      <c r="I20" s="170" t="str">
        <f ca="1">OFFSET(L!$C$1,MATCH("Checker"&amp;"Comp",L!$A:$A,0)-1,SL,,)</f>
        <v>填写</v>
      </c>
      <c r="J20" s="171" t="str">
        <f ca="1">OFFSET(L!$C$1,MATCH("Checker"&amp;ADDRESS(ROW(),COLUMN(),4),L!$A:$A,0)-1,SL,,)</f>
        <v>在“申报”选项卡 D33 单元格中，申报锡是否必须用于贵公司产品的生产中，并且包含在申报的成品内</v>
      </c>
    </row>
    <row r="21" spans="1:10" ht="39">
      <c r="A21" s="100" t="str">
        <f ca="1">Declaration!B34</f>
        <v>金(*)</v>
      </c>
      <c r="B21" s="99" t="str">
        <f>IF($B$16="Yes",Declaration!D34,0)</f>
        <v>Yes</v>
      </c>
      <c r="C21" s="99" t="str">
        <f ca="1">IF(H21=1,J21,I21)</f>
        <v>填写</v>
      </c>
      <c r="D21" s="107" t="str">
        <f>IF(H21=1,"Click here to answer question 2 for Gold","")</f>
        <v/>
      </c>
      <c r="E21" s="81" t="s">
        <v>807</v>
      </c>
      <c r="F21" s="104">
        <f>IF(B$16="No",0,1)</f>
        <v>1</v>
      </c>
      <c r="G21" s="78">
        <f>IF(B21=0,1,0)</f>
        <v>0</v>
      </c>
      <c r="H21" s="79">
        <f>F21*G21</f>
        <v>0</v>
      </c>
      <c r="I21" s="170" t="str">
        <f ca="1">OFFSET(L!$C$1,MATCH("Checker"&amp;"Comp",L!$A:$A,0)-1,SL,,)</f>
        <v>填写</v>
      </c>
      <c r="J21" s="171" t="str">
        <f ca="1">OFFSET(L!$C$1,MATCH("Checker"&amp;ADDRESS(ROW(),COLUMN(),4),L!$A:$A,0)-1,SL,,)</f>
        <v>在“申报”选项卡 D34 单元格中，申报金是否必须用于贵公司产品的生产中，并且包含在申报的成品内</v>
      </c>
    </row>
    <row r="22" spans="1:10" ht="39">
      <c r="A22" s="100" t="str">
        <f ca="1">Declaration!B35</f>
        <v>钨</v>
      </c>
      <c r="B22" s="99">
        <f>IF($B$17="Yes",Declaration!D35,0)</f>
        <v>0</v>
      </c>
      <c r="C22" s="99" t="str">
        <f ca="1">IF(H22=1,J22,I22)</f>
        <v>填写</v>
      </c>
      <c r="D22" s="107" t="str">
        <f>IF(H22=1,"Click here to answer question 2 for Tungsten","")</f>
        <v/>
      </c>
      <c r="E22" s="81" t="s">
        <v>807</v>
      </c>
      <c r="F22" s="104">
        <f>IF(B$17="No",0,1)</f>
        <v>0</v>
      </c>
      <c r="G22" s="78">
        <f>IF(B22=0,1,0)</f>
        <v>1</v>
      </c>
      <c r="H22" s="79">
        <f>F22*G22</f>
        <v>0</v>
      </c>
      <c r="I22" s="170" t="str">
        <f ca="1">OFFSET(L!$C$1,MATCH("Checker"&amp;"Comp",L!$A:$A,0)-1,SL,,)</f>
        <v>填写</v>
      </c>
      <c r="J22" s="171" t="str">
        <f ca="1">OFFSET(L!$C$1,MATCH("Checker"&amp;ADDRESS(ROW(),COLUMN(),4),L!$A:$A,0)-1,SL,,)</f>
        <v>在“申报”选项卡 D35 单元格中，申报钨是否必须用于贵公司产品的生产中，并且包含在申报的成品内</v>
      </c>
    </row>
    <row r="23" spans="1:10" ht="57.75" customHeight="1">
      <c r="A23" s="99" t="str">
        <f ca="1">Declaration!B37</f>
        <v>3) 贵公司供应链中的冶炼厂是否从所指明的国家采购 3TG？（有关术语“SEC”，请参见定义选项卡） (*)</v>
      </c>
      <c r="B23" s="102"/>
      <c r="C23" s="102"/>
      <c r="D23" s="106"/>
      <c r="E23" s="81" t="s">
        <v>807</v>
      </c>
      <c r="F23" s="103"/>
      <c r="G23" s="24"/>
      <c r="H23" s="24"/>
      <c r="J23" s="171"/>
    </row>
    <row r="24" spans="1:10" ht="39">
      <c r="A24" s="100" t="str">
        <f ca="1">Declaration!B38</f>
        <v>钽</v>
      </c>
      <c r="B24" s="99">
        <f>IF(AND($B$14="Yes",$B$19="Yes"),Declaration!D38,0)</f>
        <v>0</v>
      </c>
      <c r="C24" s="99" t="str">
        <f ca="1">IF(H24=1,J24,I24)</f>
        <v>填写</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填写</v>
      </c>
      <c r="J24" s="22" t="str">
        <f ca="1">OFFSET(L!$C$1,MATCH("Checker"&amp;ADDRESS(ROW(),COLUMN(),4),L!$A:$A,0)-1,SL,,)</f>
        <v>在“申报”选项卡 D38 单元格中，申报在此调查回答里申报的产品范围内所用钽的原产地是否为刚果民主共和国或毗邻国家或地区</v>
      </c>
    </row>
    <row r="25" spans="1:10" ht="39">
      <c r="A25" s="100" t="str">
        <f ca="1">Declaration!B39</f>
        <v>锡(*)</v>
      </c>
      <c r="B25" s="99" t="str">
        <f>IF(AND($B$15="Yes",$B$20="Yes"),Declaration!D39,0)</f>
        <v>No</v>
      </c>
      <c r="C25" s="99" t="str">
        <f ca="1">IF(H25=1,J25,I25)</f>
        <v>填写</v>
      </c>
      <c r="D25" s="107" t="str">
        <f>IF(H25=1,"Click here to answer question 3 for Tin","")</f>
        <v/>
      </c>
      <c r="E25" s="81" t="s">
        <v>807</v>
      </c>
      <c r="F25" s="104">
        <f>IF(OR(B15="No",B20="No"),0,1)</f>
        <v>1</v>
      </c>
      <c r="G25" s="78">
        <f>IF(B25=0,1,0)</f>
        <v>0</v>
      </c>
      <c r="H25" s="79">
        <f>F25*G25</f>
        <v>0</v>
      </c>
      <c r="I25" s="170" t="str">
        <f ca="1">OFFSET(L!$C$1,MATCH("Checker"&amp;"Comp",L!$A:$A,0)-1,SL,,)</f>
        <v>填写</v>
      </c>
      <c r="J25" s="22" t="str">
        <f ca="1">OFFSET(L!$C$1,MATCH("Checker"&amp;ADDRESS(ROW(),COLUMN(),4),L!$A:$A,0)-1,SL,,)</f>
        <v>在“申报”选项卡 D39 单元格中，申报在此调查回答里申报的产品范围内所用锡的原产地是否为刚果民主共和国或毗邻国家或地区</v>
      </c>
    </row>
    <row r="26" spans="1:10" ht="39">
      <c r="A26" s="100" t="str">
        <f ca="1">Declaration!B40</f>
        <v>金(*)</v>
      </c>
      <c r="B26" s="99" t="str">
        <f>IF(AND($B$16="Yes",$B$21="Yes"),Declaration!D40,0)</f>
        <v>No</v>
      </c>
      <c r="C26" s="99" t="str">
        <f ca="1">IF(H26=1,J26,I26)</f>
        <v>填写</v>
      </c>
      <c r="D26" s="107" t="str">
        <f>IF(H26=1,"Click here to answer question 3 for Gold","")</f>
        <v/>
      </c>
      <c r="E26" s="81" t="s">
        <v>807</v>
      </c>
      <c r="F26" s="104">
        <f>IF(OR(B16="No",B21="No"),0,1)</f>
        <v>1</v>
      </c>
      <c r="G26" s="78">
        <f>IF(B26=0,1,0)</f>
        <v>0</v>
      </c>
      <c r="H26" s="79">
        <f>F26*G26</f>
        <v>0</v>
      </c>
      <c r="I26" s="170" t="str">
        <f ca="1">OFFSET(L!$C$1,MATCH("Checker"&amp;"Comp",L!$A:$A,0)-1,SL,,)</f>
        <v>填写</v>
      </c>
      <c r="J26" s="22" t="str">
        <f ca="1">OFFSET(L!$C$1,MATCH("Checker"&amp;ADDRESS(ROW(),COLUMN(),4),L!$A:$A,0)-1,SL,,)</f>
        <v>在“申报”选项卡 D40 单元格中，申报在此调查回答里申报的产品范围内所用金的原产地是否为刚果民主共和国或毗邻国家或地区</v>
      </c>
    </row>
    <row r="27" spans="1:10" ht="39">
      <c r="A27" s="100" t="str">
        <f ca="1">Declaration!B41</f>
        <v>钨</v>
      </c>
      <c r="B27" s="99">
        <f>IF(AND($B$17="Yes",$B$22="Yes"),Declaration!D41,0)</f>
        <v>0</v>
      </c>
      <c r="C27" s="99" t="str">
        <f ca="1">IF(H27=1,J27,I27)</f>
        <v>填写</v>
      </c>
      <c r="D27" s="107" t="str">
        <f>IF(H27=1,"Click here to answer question 3 for Tungsten","")</f>
        <v/>
      </c>
      <c r="E27" s="81" t="s">
        <v>807</v>
      </c>
      <c r="F27" s="104">
        <f>IF(OR(B17="No",B22="No"),0,1)</f>
        <v>0</v>
      </c>
      <c r="G27" s="78">
        <f>IF(B27=0,1,0)</f>
        <v>1</v>
      </c>
      <c r="H27" s="79">
        <f>F27*G27</f>
        <v>0</v>
      </c>
      <c r="I27" s="170" t="str">
        <f ca="1">OFFSET(L!$C$1,MATCH("Checker"&amp;"Comp",L!$A:$A,0)-1,SL,,)</f>
        <v>填写</v>
      </c>
      <c r="J27" s="22" t="str">
        <f ca="1">OFFSET(L!$C$1,MATCH("Checker"&amp;ADDRESS(ROW(),COLUMN(),4),L!$A:$A,0)-1,SL,,)</f>
        <v>在“申报”选项卡 D41 单元格中，申报在此调查回答里申报的产品范围内所用钨的原产地是否为刚果民主共和国或毗邻国家或地区</v>
      </c>
    </row>
    <row r="28" spans="1:10" ht="39.6" customHeight="1">
      <c r="A28" s="99" t="str">
        <f ca="1">Declaration!B43</f>
        <v>4) 贵公司供应链中是否有冶炼厂从受冲突影响和高风险地区_x000D_
采购 3TG？ (*)</v>
      </c>
      <c r="B28" s="99"/>
      <c r="C28" s="99"/>
      <c r="D28" s="107"/>
      <c r="E28" s="81"/>
      <c r="F28" s="81"/>
      <c r="G28" s="81"/>
      <c r="H28" s="24"/>
      <c r="I28" s="170"/>
    </row>
    <row r="29" spans="1:10" ht="41.1" customHeight="1">
      <c r="A29" s="100" t="str">
        <f ca="1">Declaration!B44</f>
        <v>钽</v>
      </c>
      <c r="B29" s="99">
        <f>IF(AND($B$14="Yes",$B$19="Yes"),Declaration!D44,0)</f>
        <v>0</v>
      </c>
      <c r="C29" s="99" t="str">
        <f ca="1">IF(H29=1,J29,I29)</f>
        <v>填写</v>
      </c>
      <c r="D29" s="314" t="str">
        <f>IF(H29=1,"Click here to answer question 4 for Tantalum","")</f>
        <v/>
      </c>
      <c r="E29" s="81"/>
      <c r="F29" s="104">
        <f>F24</f>
        <v>0</v>
      </c>
      <c r="G29" s="78">
        <f t="shared" ref="G29" si="8">IF(B29=0,1,0)</f>
        <v>1</v>
      </c>
      <c r="H29" s="79">
        <f t="shared" ref="H29" si="9">F29*G29</f>
        <v>0</v>
      </c>
      <c r="I29" s="170" t="str">
        <f ca="1">OFFSET(L!$C$1,MATCH("Checker"&amp;"Comp",L!$A:$A,0)-1,SL,,)</f>
        <v>填写</v>
      </c>
      <c r="J29" s="22" t="str">
        <f ca="1">OFFSET(L!$C$1,MATCH("Checker"&amp;ADDRESS(ROW(),COLUMN(),4),L!$A:$A,0)-1,SL,,)</f>
        <v>在“申报”选项卡 D44 单元格中申报此调查回答中所申报产品范围内使用的钽的原产地是否为受冲突影响和高风险地区</v>
      </c>
    </row>
    <row r="30" spans="1:10" ht="41.1" customHeight="1">
      <c r="A30" s="100" t="str">
        <f ca="1">Declaration!B45</f>
        <v>锡(*)</v>
      </c>
      <c r="B30" s="99" t="str">
        <f>IF(AND($B$15="Yes",$B$20="Yes"),Declaration!D45,0)</f>
        <v>No</v>
      </c>
      <c r="C30" s="99" t="str">
        <f ca="1">IF(H30=1,J30,I30)</f>
        <v>填写</v>
      </c>
      <c r="D30" s="314" t="str">
        <f>IF(H30=1,"Click here to answer question 4 for Tin","")</f>
        <v/>
      </c>
      <c r="E30" s="81"/>
      <c r="F30" s="104">
        <f>F25</f>
        <v>1</v>
      </c>
      <c r="G30" s="78">
        <f>IF(B30=0,1,0)</f>
        <v>0</v>
      </c>
      <c r="H30" s="79">
        <f>F30*G30</f>
        <v>0</v>
      </c>
      <c r="I30" s="170" t="str">
        <f ca="1">OFFSET(L!$C$1,MATCH("Checker"&amp;"Comp",L!$A:$A,0)-1,SL,,)</f>
        <v>填写</v>
      </c>
      <c r="J30" s="22" t="str">
        <f ca="1">OFFSET(L!$C$1,MATCH("Checker"&amp;ADDRESS(ROW(),COLUMN(),4),L!$A:$A,0)-1,SL,,)</f>
        <v>在“申报”选项卡 D45 单元格中申报此调查回答中所申报产品范围内使用的锡的原产地是否为受冲突影响和高风险地区</v>
      </c>
    </row>
    <row r="31" spans="1:10" ht="41.1" customHeight="1">
      <c r="A31" s="100" t="str">
        <f ca="1">Declaration!B46</f>
        <v>金(*)</v>
      </c>
      <c r="B31" s="99" t="str">
        <f>IF(AND($B$16="Yes",$B$21="Yes"),Declaration!D46,0)</f>
        <v>No</v>
      </c>
      <c r="C31" s="99" t="str">
        <f ca="1">IF(H31=1,J31,I31)</f>
        <v>填写</v>
      </c>
      <c r="D31" s="314" t="str">
        <f>IF(H31=1,"Click here to answer question 4 for Gold","")</f>
        <v/>
      </c>
      <c r="E31" s="81"/>
      <c r="F31" s="104">
        <f>F26</f>
        <v>1</v>
      </c>
      <c r="G31" s="78">
        <f>IF(B31=0,1,0)</f>
        <v>0</v>
      </c>
      <c r="H31" s="79">
        <f>F31*G31</f>
        <v>0</v>
      </c>
      <c r="I31" s="170" t="str">
        <f ca="1">OFFSET(L!$C$1,MATCH("Checker"&amp;"Comp",L!$A:$A,0)-1,SL,,)</f>
        <v>填写</v>
      </c>
      <c r="J31" s="22" t="str">
        <f ca="1">OFFSET(L!$C$1,MATCH("Checker"&amp;ADDRESS(ROW(),COLUMN(),4),L!$A:$A,0)-1,SL,,)</f>
        <v>在“申报”选项卡 D46 单元格中申报此调查回答中所申报产品范围内使用的金的原产地是否为受冲突影响和高风险地区</v>
      </c>
    </row>
    <row r="32" spans="1:10" ht="41.1" customHeight="1">
      <c r="A32" s="100" t="str">
        <f ca="1">Declaration!B47</f>
        <v>钨</v>
      </c>
      <c r="B32" s="99">
        <f>IF(AND($B$17="Yes",$B$22="Yes"),Declaration!D47,0)</f>
        <v>0</v>
      </c>
      <c r="C32" s="99" t="str">
        <f ca="1">IF(H32=1,J32,I32)</f>
        <v>填写</v>
      </c>
      <c r="D32" s="314" t="str">
        <f>IF(H32=1,"Click here to answer question 4 for Tungsten","")</f>
        <v/>
      </c>
      <c r="E32" s="81"/>
      <c r="F32" s="104">
        <f>F27</f>
        <v>0</v>
      </c>
      <c r="G32" s="78">
        <f>IF(B32=0,1,0)</f>
        <v>1</v>
      </c>
      <c r="H32" s="79">
        <f>F32*G32</f>
        <v>0</v>
      </c>
      <c r="I32" s="170" t="str">
        <f ca="1">OFFSET(L!$C$1,MATCH("Checker"&amp;"Comp",L!$A:$A,0)-1,SL,,)</f>
        <v>填写</v>
      </c>
      <c r="J32" s="22" t="str">
        <f ca="1">OFFSET(L!$C$1,MATCH("Checker"&amp;ADDRESS(ROW(),COLUMN(),4),L!$A:$A,0)-1,SL,,)</f>
        <v>在“申报”选项卡 D47 单元格中申报此调查回答中所申报产品范围内使用的钨的原产地是否为受冲突影响和高风险地区</v>
      </c>
    </row>
    <row r="33" spans="1:10" ht="38.25">
      <c r="A33" s="99" t="str">
        <f ca="1">Declaration!B49</f>
        <v>5) 是否 100% 的 3TG（因产品功能或生产而必须使用）来自于回收料或报废料？ (*)</v>
      </c>
      <c r="B33" s="102"/>
      <c r="C33" s="102"/>
      <c r="D33" s="106"/>
      <c r="E33" s="81" t="s">
        <v>1307</v>
      </c>
      <c r="F33" s="103"/>
      <c r="G33" s="24"/>
      <c r="H33" s="24"/>
      <c r="J33" s="171"/>
    </row>
    <row r="34" spans="1:10" ht="39">
      <c r="A34" s="100" t="str">
        <f ca="1">Declaration!B50</f>
        <v>钽</v>
      </c>
      <c r="B34" s="99">
        <f>IF(AND($B$14="Yes",$B$19="Yes"),Declaration!D50,0)</f>
        <v>0</v>
      </c>
      <c r="C34" s="99" t="str">
        <f ca="1">IF(H34=1,J34,I34)</f>
        <v>填写</v>
      </c>
      <c r="D34" s="314" t="str">
        <f>IF(H34=1,"Click here to answer question 5 for Tantalum","")</f>
        <v/>
      </c>
      <c r="E34" s="81" t="s">
        <v>1307</v>
      </c>
      <c r="F34" s="104">
        <f>F24</f>
        <v>0</v>
      </c>
      <c r="G34" s="78">
        <f>IF(B34=0,1,0)</f>
        <v>1</v>
      </c>
      <c r="H34" s="79">
        <f>F34*G34</f>
        <v>0</v>
      </c>
      <c r="I34" s="170" t="str">
        <f ca="1">OFFSET(L!$C$1,MATCH("Checker"&amp;"Comp",L!$A:$A,0)-1,SL,,)</f>
        <v>填写</v>
      </c>
      <c r="J34" s="171" t="str">
        <f ca="1">OFFSET(L!$C$1,MATCH("Checker"&amp;ADDRESS(ROW(),COLUMN(),4),L!$A:$A,0)-1,SL,,)</f>
        <v>在“申报”选项卡 D44 单元格中，申报在此调查回答里申报的产品范围内所用钽是否完全来自回收料或报废料</v>
      </c>
    </row>
    <row r="35" spans="1:10" ht="39">
      <c r="A35" s="100" t="str">
        <f ca="1">Declaration!B51</f>
        <v>锡(*)</v>
      </c>
      <c r="B35" s="99" t="str">
        <f>IF(AND($B$15="Yes",$B$20="Yes"),Declaration!D51,0)</f>
        <v>Unknown</v>
      </c>
      <c r="C35" s="99" t="str">
        <f ca="1">IF(H35=1,J35,I35)</f>
        <v>填写</v>
      </c>
      <c r="D35" s="314" t="str">
        <f>IF(H35=1,"Click here to answer question 5 for Tin","")</f>
        <v/>
      </c>
      <c r="E35" s="81" t="s">
        <v>1307</v>
      </c>
      <c r="F35" s="104">
        <f>F25</f>
        <v>1</v>
      </c>
      <c r="G35" s="78">
        <f>IF(B35=0,1,0)</f>
        <v>0</v>
      </c>
      <c r="H35" s="79">
        <f>F35*G35</f>
        <v>0</v>
      </c>
      <c r="I35" s="170" t="str">
        <f ca="1">OFFSET(L!$C$1,MATCH("Checker"&amp;"Comp",L!$A:$A,0)-1,SL,,)</f>
        <v>填写</v>
      </c>
      <c r="J35" s="171" t="str">
        <f ca="1">OFFSET(L!$C$1,MATCH("Checker"&amp;ADDRESS(ROW(),COLUMN(),4),L!$A:$A,0)-1,SL,,)</f>
        <v>在“申报”选项卡 D45 单元格中，申报在此调查回答里申报的产品范围内所用锡是否完全来自回收料或报废料</v>
      </c>
    </row>
    <row r="36" spans="1:10" ht="39">
      <c r="A36" s="100" t="str">
        <f ca="1">Declaration!B52</f>
        <v>金(*)</v>
      </c>
      <c r="B36" s="99" t="str">
        <f>IF(AND($B$16="Yes",$B$21="Yes"),Declaration!D52,0)</f>
        <v>Unknown</v>
      </c>
      <c r="C36" s="99" t="str">
        <f ca="1">IF(H36=1,J36,I36)</f>
        <v>填写</v>
      </c>
      <c r="D36" s="314" t="str">
        <f>IF(H36=1,"Click here to answer question 5 for Gold","")</f>
        <v/>
      </c>
      <c r="E36" s="81" t="s">
        <v>1307</v>
      </c>
      <c r="F36" s="104">
        <f>F26</f>
        <v>1</v>
      </c>
      <c r="G36" s="78">
        <f>IF(B36=0,1,0)</f>
        <v>0</v>
      </c>
      <c r="H36" s="79">
        <f>F36*G36</f>
        <v>0</v>
      </c>
      <c r="I36" s="170" t="str">
        <f ca="1">OFFSET(L!$C$1,MATCH("Checker"&amp;"Comp",L!$A:$A,0)-1,SL,,)</f>
        <v>填写</v>
      </c>
      <c r="J36" s="171" t="str">
        <f ca="1">OFFSET(L!$C$1,MATCH("Checker"&amp;ADDRESS(ROW(),COLUMN(),4),L!$A:$A,0)-1,SL,,)</f>
        <v>在“申报”选项卡 D46 单元格中，申报在此调查回答里申报的产品范围内所用金是否完全来自回收料或报废料</v>
      </c>
    </row>
    <row r="37" spans="1:10" ht="39">
      <c r="A37" s="100" t="str">
        <f ca="1">Declaration!B53</f>
        <v>钨</v>
      </c>
      <c r="B37" s="99">
        <f>IF(AND($B$17="Yes",$B$22="Yes"),Declaration!D53,0)</f>
        <v>0</v>
      </c>
      <c r="C37" s="99" t="str">
        <f ca="1">IF(H37=1,J37,I37)</f>
        <v>填写</v>
      </c>
      <c r="D37" s="314" t="str">
        <f>IF(H37=1,"Click here to answer question 5 for Tungsten","")</f>
        <v/>
      </c>
      <c r="E37" s="81" t="s">
        <v>1307</v>
      </c>
      <c r="F37" s="104">
        <f>F27</f>
        <v>0</v>
      </c>
      <c r="G37" s="78">
        <f>IF(B37=0,1,0)</f>
        <v>1</v>
      </c>
      <c r="H37" s="79">
        <f>F37*G37</f>
        <v>0</v>
      </c>
      <c r="I37" s="170" t="str">
        <f ca="1">OFFSET(L!$C$1,MATCH("Checker"&amp;"Comp",L!$A:$A,0)-1,SL,,)</f>
        <v>填写</v>
      </c>
      <c r="J37" s="171" t="str">
        <f ca="1">OFFSET(L!$C$1,MATCH("Checker"&amp;ADDRESS(ROW(),COLUMN(),4),L!$A:$A,0)-1,SL,,)</f>
        <v>在“申报”选项卡 D46 单元格中，申报在此调查回答里申报的产品范围内所用钨是否完全来自回收料或报废料</v>
      </c>
    </row>
    <row r="38" spans="1:10" ht="38.25">
      <c r="A38" s="99" t="str">
        <f ca="1">Declaration!B55</f>
        <v>6) 已对贵公司供应链调查提供答复的相关供应商百分比是多少？ (*)</v>
      </c>
      <c r="B38" s="102"/>
      <c r="C38" s="102"/>
      <c r="D38" s="106"/>
      <c r="E38" s="81" t="s">
        <v>807</v>
      </c>
      <c r="F38" s="103"/>
      <c r="G38" s="24"/>
      <c r="H38" s="24"/>
    </row>
    <row r="39" spans="1:10" ht="26.25">
      <c r="A39" s="100" t="str">
        <f ca="1">Declaration!B56</f>
        <v>钽</v>
      </c>
      <c r="B39" s="333">
        <f>IF(AND($B$14="Yes",$B$19="Yes"),Declaration!D56,0)</f>
        <v>0</v>
      </c>
      <c r="C39" s="99" t="str">
        <f ca="1">IF(H39=1,J39,I39)</f>
        <v>填写</v>
      </c>
      <c r="D39" s="315" t="str">
        <f>IF(H39=1,"Click here to answer question 6 for Tantalum","")</f>
        <v/>
      </c>
      <c r="E39" s="81" t="s">
        <v>806</v>
      </c>
      <c r="F39" s="104">
        <f>F24</f>
        <v>0</v>
      </c>
      <c r="G39" s="78">
        <f>IF(B39=0,1,0)</f>
        <v>1</v>
      </c>
      <c r="H39" s="79">
        <f>F39*G39</f>
        <v>0</v>
      </c>
      <c r="I39" s="170" t="str">
        <f ca="1">OFFSET(L!$C$1,MATCH("Checker"&amp;"Comp",L!$A:$A,0)-1,SL,,)</f>
        <v>填写</v>
      </c>
      <c r="J39" s="22" t="str">
        <f ca="1">OFFSET(L!$C$1,MATCH("Checker"&amp;ADDRESS(ROW(),COLUMN(),4),L!$A:$A,0)-1,SL,,)</f>
        <v>在“申报”选项卡 D50 单元格中，提供供应商的冶炼厂信息填写百分比</v>
      </c>
    </row>
    <row r="40" spans="1:10" ht="26.25">
      <c r="A40" s="100" t="str">
        <f ca="1">Declaration!B57</f>
        <v>锡(*)</v>
      </c>
      <c r="B40" s="333">
        <f>IF(AND($B$15="Yes",$B$20="Yes"),Declaration!D57,0)</f>
        <v>1</v>
      </c>
      <c r="C40" s="99" t="str">
        <f ca="1">IF(H40=1,J40,I40)</f>
        <v>填写</v>
      </c>
      <c r="D40" s="315" t="str">
        <f>IF(H40=1,"Click here to answer question 6 for Tin","")</f>
        <v/>
      </c>
      <c r="E40" s="81" t="s">
        <v>806</v>
      </c>
      <c r="F40" s="104">
        <f>F25</f>
        <v>1</v>
      </c>
      <c r="G40" s="78">
        <f>IF(B40=0,1,0)</f>
        <v>0</v>
      </c>
      <c r="H40" s="79">
        <f>F40*G40</f>
        <v>0</v>
      </c>
      <c r="I40" s="170" t="str">
        <f ca="1">OFFSET(L!$C$1,MATCH("Checker"&amp;"Comp",L!$A:$A,0)-1,SL,,)</f>
        <v>填写</v>
      </c>
      <c r="J40" s="22" t="str">
        <f ca="1">OFFSET(L!$C$1,MATCH("Checker"&amp;ADDRESS(ROW(),COLUMN(),4),L!$A:$A,0)-1,SL,,)</f>
        <v>在“申报”选项卡 D51 单元格中，提供供应商的冶炼厂信息填写百分比</v>
      </c>
    </row>
    <row r="41" spans="1:10" ht="26.25">
      <c r="A41" s="100" t="str">
        <f ca="1">Declaration!B58</f>
        <v>金(*)</v>
      </c>
      <c r="B41" s="333">
        <f>IF(AND($B$16="Yes",$B$21="Yes"),Declaration!D58,0)</f>
        <v>1</v>
      </c>
      <c r="C41" s="99" t="str">
        <f ca="1">IF(H41=1,J41,I41)</f>
        <v>填写</v>
      </c>
      <c r="D41" s="315" t="str">
        <f>IF(H41=1,"Click here to answer question 6 for Gold","")</f>
        <v/>
      </c>
      <c r="E41" s="81" t="s">
        <v>806</v>
      </c>
      <c r="F41" s="104">
        <f>F26</f>
        <v>1</v>
      </c>
      <c r="G41" s="78">
        <f>IF(B41=0,1,0)</f>
        <v>0</v>
      </c>
      <c r="H41" s="79">
        <f>F41*G41</f>
        <v>0</v>
      </c>
      <c r="I41" s="170" t="str">
        <f ca="1">OFFSET(L!$C$1,MATCH("Checker"&amp;"Comp",L!$A:$A,0)-1,SL,,)</f>
        <v>填写</v>
      </c>
      <c r="J41" s="22" t="str">
        <f ca="1">OFFSET(L!$C$1,MATCH("Checker"&amp;ADDRESS(ROW(),COLUMN(),4),L!$A:$A,0)-1,SL,,)</f>
        <v>在“申报”选项卡 D52 单元格中，提供供应商的冶炼厂信息填写百分比</v>
      </c>
    </row>
    <row r="42" spans="1:10" ht="26.25">
      <c r="A42" s="100" t="str">
        <f ca="1">Declaration!B59</f>
        <v>钨</v>
      </c>
      <c r="B42" s="333">
        <f>IF(AND($B$17="Yes",$B$22="Yes"),Declaration!D59,0)</f>
        <v>0</v>
      </c>
      <c r="C42" s="99" t="str">
        <f ca="1">IF(H42=1,J42,I42)</f>
        <v>填写</v>
      </c>
      <c r="D42" s="315" t="str">
        <f>IF(H42=1,"Click here to answer question 6 for Tungsten","")</f>
        <v/>
      </c>
      <c r="E42" s="81" t="s">
        <v>806</v>
      </c>
      <c r="F42" s="104">
        <f>F27</f>
        <v>0</v>
      </c>
      <c r="G42" s="78">
        <f>IF(B42=0,1,0)</f>
        <v>1</v>
      </c>
      <c r="H42" s="79">
        <f>F42*G42</f>
        <v>0</v>
      </c>
      <c r="I42" s="170" t="str">
        <f ca="1">OFFSET(L!$C$1,MATCH("Checker"&amp;"Comp",L!$A:$A,0)-1,SL,,)</f>
        <v>填写</v>
      </c>
      <c r="J42" s="22" t="str">
        <f ca="1">OFFSET(L!$C$1,MATCH("Checker"&amp;ADDRESS(ROW(),COLUMN(),4),L!$A:$A,0)-1,SL,,)</f>
        <v>在“申报”选项卡 D53 单元格中，提供供应商的冶炼厂信息填写百分比</v>
      </c>
    </row>
    <row r="43" spans="1:10" ht="51">
      <c r="A43" s="99" t="str">
        <f ca="1">Declaration!B61</f>
        <v>7) 您是否识别出为贵公司供应链供应 3TG 的所有冶炼厂？ (*)</v>
      </c>
      <c r="B43" s="102"/>
      <c r="C43" s="102"/>
      <c r="D43" s="106"/>
      <c r="E43" s="81" t="s">
        <v>808</v>
      </c>
      <c r="F43" s="103"/>
      <c r="G43" s="24"/>
      <c r="H43" s="24"/>
    </row>
    <row r="44" spans="1:10" ht="51.75">
      <c r="A44" s="100" t="str">
        <f ca="1">Declaration!B62</f>
        <v>钽</v>
      </c>
      <c r="B44" s="99">
        <f>IF(AND($B$14="Yes",$B$19="Yes"),Declaration!D62,0)</f>
        <v>0</v>
      </c>
      <c r="C44" s="99" t="str">
        <f ca="1">IF(H44=1,J44,I44)</f>
        <v>填写</v>
      </c>
      <c r="D44" s="314" t="str">
        <f>IF(H44=1,"Click here to answer question 7 for Tantalum","")</f>
        <v/>
      </c>
      <c r="E44" s="81" t="s">
        <v>1303</v>
      </c>
      <c r="F44" s="104">
        <f>F24</f>
        <v>0</v>
      </c>
      <c r="G44" s="78">
        <f>IF(B44=0,1,0)</f>
        <v>1</v>
      </c>
      <c r="H44" s="79">
        <f>F44*G44</f>
        <v>0</v>
      </c>
      <c r="I44" s="170" t="str">
        <f ca="1">OFFSET(L!$C$1,MATCH("Checker"&amp;"Comp",L!$A:$A,0)-1,SL,,)</f>
        <v>填写</v>
      </c>
      <c r="J44" s="22" t="str">
        <f ca="1">OFFSET(L!$C$1,MATCH("Checker"&amp;ADDRESS(ROW(),COLUMN(),4),L!$A:$A,0)-1,SL,,)</f>
        <v>在“申报”选项卡 D56 单元格中，申报是否在此调查回答里的申报产品范围下方提供了所有冶炼厂名称</v>
      </c>
    </row>
    <row r="45" spans="1:10" ht="51.75">
      <c r="A45" s="100" t="str">
        <f ca="1">Declaration!B63</f>
        <v>锡(*)</v>
      </c>
      <c r="B45" s="99" t="str">
        <f>IF(AND($B$15="Yes",$B$20="Yes"),Declaration!D63,0)</f>
        <v>Yes</v>
      </c>
      <c r="C45" s="99" t="str">
        <f ca="1">IF(H45=1,J45,I45)</f>
        <v>填写</v>
      </c>
      <c r="D45" s="314" t="str">
        <f>IF(H45=1,"Click here to answer question 7 for Tin","")</f>
        <v/>
      </c>
      <c r="E45" s="81" t="s">
        <v>1303</v>
      </c>
      <c r="F45" s="104">
        <f>F25</f>
        <v>1</v>
      </c>
      <c r="G45" s="78">
        <f>IF(B45=0,1,0)</f>
        <v>0</v>
      </c>
      <c r="H45" s="79">
        <f>F45*G45</f>
        <v>0</v>
      </c>
      <c r="I45" s="170" t="str">
        <f ca="1">OFFSET(L!$C$1,MATCH("Checker"&amp;"Comp",L!$A:$A,0)-1,SL,,)</f>
        <v>填写</v>
      </c>
      <c r="J45" s="22" t="str">
        <f ca="1">OFFSET(L!$C$1,MATCH("Checker"&amp;ADDRESS(ROW(),COLUMN(),4),L!$A:$A,0)-1,SL,,)</f>
        <v>在“申报”选项卡 D57 单元格中，申报是否在此调查回答里的申报产品范围下方提供了所有冶炼厂名称</v>
      </c>
    </row>
    <row r="46" spans="1:10" ht="51.75">
      <c r="A46" s="100" t="str">
        <f ca="1">Declaration!B64</f>
        <v>金(*)</v>
      </c>
      <c r="B46" s="99" t="str">
        <f>IF(AND($B$16="Yes",$B$21="Yes"),Declaration!D64,0)</f>
        <v>Yes</v>
      </c>
      <c r="C46" s="99" t="str">
        <f ca="1">IF(H46=1,J46,I46)</f>
        <v>填写</v>
      </c>
      <c r="D46" s="314" t="str">
        <f>IF(H46=1,"Click here to answer question 7 for Gold","")</f>
        <v/>
      </c>
      <c r="E46" s="81" t="s">
        <v>1303</v>
      </c>
      <c r="F46" s="104">
        <f>F26</f>
        <v>1</v>
      </c>
      <c r="G46" s="78">
        <f>IF(B46=0,1,0)</f>
        <v>0</v>
      </c>
      <c r="H46" s="79">
        <f>F46*G46</f>
        <v>0</v>
      </c>
      <c r="I46" s="170" t="str">
        <f ca="1">OFFSET(L!$C$1,MATCH("Checker"&amp;"Comp",L!$A:$A,0)-1,SL,,)</f>
        <v>填写</v>
      </c>
      <c r="J46" s="22" t="str">
        <f ca="1">OFFSET(L!$C$1,MATCH("Checker"&amp;ADDRESS(ROW(),COLUMN(),4),L!$A:$A,0)-1,SL,,)</f>
        <v>在“申报”选项卡 D58 单元格中，申报是否在此调查回答里的申报产品范围下方提供了所有冶炼厂名称</v>
      </c>
    </row>
    <row r="47" spans="1:10" ht="51.75">
      <c r="A47" s="100" t="str">
        <f ca="1">Declaration!B65</f>
        <v>钨</v>
      </c>
      <c r="B47" s="99">
        <f>IF(AND($B$17="Yes",$B$22="Yes"),Declaration!D65,0)</f>
        <v>0</v>
      </c>
      <c r="C47" s="99" t="str">
        <f ca="1">IF(H47=1,J47,I47)</f>
        <v>填写</v>
      </c>
      <c r="D47" s="314" t="str">
        <f>IF(H47=1,"Click here to answer question 7 for Tungsten","")</f>
        <v/>
      </c>
      <c r="E47" s="81" t="s">
        <v>1303</v>
      </c>
      <c r="F47" s="104">
        <f>F27</f>
        <v>0</v>
      </c>
      <c r="G47" s="78">
        <f>IF(B47=0,1,0)</f>
        <v>1</v>
      </c>
      <c r="H47" s="79">
        <f>F47*G47</f>
        <v>0</v>
      </c>
      <c r="I47" s="170" t="str">
        <f ca="1">OFFSET(L!$C$1,MATCH("Checker"&amp;"Comp",L!$A:$A,0)-1,SL,,)</f>
        <v>填写</v>
      </c>
      <c r="J47" s="22" t="str">
        <f ca="1">OFFSET(L!$C$1,MATCH("Checker"&amp;ADDRESS(ROW(),COLUMN(),4),L!$A:$A,0)-1,SL,,)</f>
        <v>在“申报”选项卡 D59 单元格中，申报是否在此调查回答里的申报产品范围下方提供了所有冶炼厂名称</v>
      </c>
    </row>
    <row r="48" spans="1:10" ht="63.75">
      <c r="A48" s="99" t="str">
        <f ca="1">Declaration!B67</f>
        <v>8) 贵公司收到的所有适用冶炼厂信息是否已在此申报中报告？ (*)</v>
      </c>
      <c r="B48" s="102"/>
      <c r="C48" s="102"/>
      <c r="D48" s="106"/>
      <c r="E48" s="81" t="s">
        <v>809</v>
      </c>
      <c r="F48" s="103"/>
      <c r="G48" s="24"/>
      <c r="H48" s="24"/>
    </row>
    <row r="49" spans="1:10" ht="39">
      <c r="A49" s="100" t="str">
        <f ca="1">Declaration!B68</f>
        <v>钽</v>
      </c>
      <c r="B49" s="99">
        <f>IF(AND($B$14="Yes",$B$19="Yes"),Declaration!D68,0)</f>
        <v>0</v>
      </c>
      <c r="C49" s="99" t="str">
        <f ca="1">IF(H49=1,J49,I49)</f>
        <v>填写</v>
      </c>
      <c r="D49" s="315" t="str">
        <f>IF(H49=1,"Click here to answer question 8 for Tantalum","")</f>
        <v/>
      </c>
      <c r="E49" s="81" t="s">
        <v>807</v>
      </c>
      <c r="F49" s="104">
        <f>F24</f>
        <v>0</v>
      </c>
      <c r="G49" s="78">
        <f>IF(B49=0,1,0)</f>
        <v>1</v>
      </c>
      <c r="H49" s="79">
        <f>F49*G49</f>
        <v>0</v>
      </c>
      <c r="I49" s="170" t="str">
        <f ca="1">OFFSET(L!$C$1,MATCH("Checker"&amp;"Comp",L!$A:$A,0)-1,SL,,)</f>
        <v>填写</v>
      </c>
      <c r="J49" s="22" t="str">
        <f ca="1">OFFSET(L!$C$1,MATCH("Checker"&amp;ADDRESS(ROW(),COLUMN(),4),L!$A:$A,0)-1,SL,,)</f>
        <v>在“申报”选项卡 D62 单元格中，申报是否已提供所有适用钽冶炼厂信息</v>
      </c>
    </row>
    <row r="50" spans="1:10" ht="39">
      <c r="A50" s="100" t="str">
        <f ca="1">Declaration!B69</f>
        <v>锡(*)</v>
      </c>
      <c r="B50" s="99" t="str">
        <f>IF(AND($B$15="Yes",$B$20="Yes"),Declaration!D69,0)</f>
        <v>Yes</v>
      </c>
      <c r="C50" s="99" t="str">
        <f ca="1">IF(H50=1,J50,I50)</f>
        <v>填写</v>
      </c>
      <c r="D50" s="315" t="str">
        <f>IF(H50=1,"Click here to answer question 8 for Tin","")</f>
        <v/>
      </c>
      <c r="E50" s="81" t="s">
        <v>807</v>
      </c>
      <c r="F50" s="104">
        <f>F25</f>
        <v>1</v>
      </c>
      <c r="G50" s="78">
        <f>IF(B50=0,1,0)</f>
        <v>0</v>
      </c>
      <c r="H50" s="79">
        <f>F50*G50</f>
        <v>0</v>
      </c>
      <c r="I50" s="170" t="str">
        <f ca="1">OFFSET(L!$C$1,MATCH("Checker"&amp;"Comp",L!$A:$A,0)-1,SL,,)</f>
        <v>填写</v>
      </c>
      <c r="J50" s="22" t="str">
        <f ca="1">OFFSET(L!$C$1,MATCH("Checker"&amp;ADDRESS(ROW(),COLUMN(),4),L!$A:$A,0)-1,SL,,)</f>
        <v>在“申报”选项卡 D63 单元格中，申报是否已提供所有适用锡冶炼厂信息</v>
      </c>
    </row>
    <row r="51" spans="1:10" ht="39">
      <c r="A51" s="100" t="str">
        <f ca="1">Declaration!B70</f>
        <v>金(*)</v>
      </c>
      <c r="B51" s="99" t="str">
        <f>IF(AND($B$16="Yes",$B$21="Yes"),Declaration!D70,0)</f>
        <v>Yes</v>
      </c>
      <c r="C51" s="99" t="str">
        <f ca="1">IF(H51=1,J51,I51)</f>
        <v>填写</v>
      </c>
      <c r="D51" s="315" t="str">
        <f>IF(H51=1,"Click here to answer question 8 for Gold","")</f>
        <v/>
      </c>
      <c r="E51" s="81" t="s">
        <v>807</v>
      </c>
      <c r="F51" s="104">
        <f>F26</f>
        <v>1</v>
      </c>
      <c r="G51" s="78">
        <f>IF(B51=0,1,0)</f>
        <v>0</v>
      </c>
      <c r="H51" s="79">
        <f>F51*G51</f>
        <v>0</v>
      </c>
      <c r="I51" s="170" t="str">
        <f ca="1">OFFSET(L!$C$1,MATCH("Checker"&amp;"Comp",L!$A:$A,0)-1,SL,,)</f>
        <v>填写</v>
      </c>
      <c r="J51" s="22" t="str">
        <f ca="1">OFFSET(L!$C$1,MATCH("Checker"&amp;ADDRESS(ROW(),COLUMN(),4),L!$A:$A,0)-1,SL,,)</f>
        <v>在“申报”选项卡 D64 单元格中，申报是否已提供所有适用金冶炼厂信息</v>
      </c>
    </row>
    <row r="52" spans="1:10" ht="39">
      <c r="A52" s="100" t="str">
        <f ca="1">Declaration!B71</f>
        <v>钨</v>
      </c>
      <c r="B52" s="99">
        <f>IF(AND($B$17="Yes",$B$22="Yes"),Declaration!D71,0)</f>
        <v>0</v>
      </c>
      <c r="C52" s="99" t="str">
        <f ca="1">IF(H52=1,J52,I52)</f>
        <v>填写</v>
      </c>
      <c r="D52" s="315" t="str">
        <f>IF(H52=1,"Click here to answer question 8 for Tungsten","")</f>
        <v/>
      </c>
      <c r="E52" s="81" t="s">
        <v>807</v>
      </c>
      <c r="F52" s="104">
        <f>F27</f>
        <v>0</v>
      </c>
      <c r="G52" s="78">
        <f>IF(B52=0,1,0)</f>
        <v>1</v>
      </c>
      <c r="H52" s="79">
        <f>F52*G52</f>
        <v>0</v>
      </c>
      <c r="I52" s="170" t="str">
        <f ca="1">OFFSET(L!$C$1,MATCH("Checker"&amp;"Comp",L!$A:$A,0)-1,SL,,)</f>
        <v>填写</v>
      </c>
      <c r="J52" s="22" t="str">
        <f ca="1">OFFSET(L!$C$1,MATCH("Checker"&amp;ADDRESS(ROW(),COLUMN(),4),L!$A:$A,0)-1,SL,,)</f>
        <v>在“申报”选项卡 D65 单元格中，申报是否已提供所有适用钨冶炼厂信息</v>
      </c>
    </row>
    <row r="53" spans="1:10" ht="25.5">
      <c r="A53" s="99" t="str">
        <f ca="1">Declaration!B74</f>
        <v>问题</v>
      </c>
      <c r="B53" s="102"/>
      <c r="C53" s="102"/>
      <c r="D53" s="106"/>
      <c r="E53" s="81" t="s">
        <v>441</v>
      </c>
      <c r="F53" s="103"/>
      <c r="G53" s="103"/>
      <c r="H53" s="103"/>
    </row>
    <row r="54" spans="1:10" ht="39">
      <c r="A54" s="99" t="str">
        <f ca="1">Declaration!B75</f>
        <v>A. 贵公司是否已制定负责任矿产采购政策？ (*)</v>
      </c>
      <c r="B54" s="99" t="str">
        <f>Declaration!D75</f>
        <v>Yes</v>
      </c>
      <c r="C54" s="99" t="str">
        <f t="shared" ref="C54:C60" ca="1" si="10">IF(H54=1,J54,I54)</f>
        <v>填写</v>
      </c>
      <c r="D54" s="105" t="str">
        <f>IF(H54=1,"Click here to answer question (A)","")</f>
        <v/>
      </c>
      <c r="E54" s="81" t="s">
        <v>1307</v>
      </c>
      <c r="F54" s="104">
        <f>IF(SUM(F$24:F$27)=0,0,1)</f>
        <v>1</v>
      </c>
      <c r="G54" s="78">
        <f>IF(B54=0,1,0)</f>
        <v>0</v>
      </c>
      <c r="H54" s="79">
        <f t="shared" ref="H54:H60" si="11">F54*G54</f>
        <v>0</v>
      </c>
      <c r="I54" s="170" t="str">
        <f ca="1">OFFSET(L!$C$1,MATCH("Checker"&amp;"Comp",L!$A:$A,0)-1,SL,,)</f>
        <v>填写</v>
      </c>
      <c r="J54" s="22" t="str">
        <f ca="1">OFFSET(L!$C$1,MATCH("Checker"&amp;ADDRESS(ROW(),COLUMN(),4),L!$A:$A,0)-1,SL,,)</f>
        <v>在“申报”选项卡 D75 单元格中，回答贵公司是否制定了负责任矿物采购政策</v>
      </c>
    </row>
    <row r="55" spans="1:10" ht="54.75" customHeight="1">
      <c r="A55" s="99" t="str">
        <f ca="1">Declaration!B77</f>
        <v>B. 贵公司的负责任矿产采购政策是否公开发布于贵公司网页上？（备注 - 如果是，请在注释字段中注明 URL。） (*)</v>
      </c>
      <c r="B55" s="99" t="str">
        <f>Declaration!D77</f>
        <v>Yes</v>
      </c>
      <c r="C55" s="99" t="str">
        <f t="shared" ca="1" si="10"/>
        <v>填写</v>
      </c>
      <c r="D55" s="105" t="str">
        <f>IF(H55=1,"Click here to answer question (B)","")</f>
        <v/>
      </c>
      <c r="E55" s="81" t="s">
        <v>1307</v>
      </c>
      <c r="F55" s="104">
        <f t="shared" ref="F55" si="12">F$54</f>
        <v>1</v>
      </c>
      <c r="G55" s="78">
        <f>IF(B55=0,1,0)</f>
        <v>0</v>
      </c>
      <c r="H55" s="79">
        <f t="shared" si="11"/>
        <v>0</v>
      </c>
      <c r="I55" s="170" t="str">
        <f ca="1">OFFSET(L!$C$1,MATCH("Checker"&amp;"Comp",L!$A:$A,0)-1,SL,,)</f>
        <v>填写</v>
      </c>
      <c r="J55" s="22" t="str">
        <f ca="1">OFFSET(L!$C$1,MATCH("Checker"&amp;ADDRESS(ROW(),COLUMN(),4),L!$A:$A,0)-1,SL,,)</f>
        <v>在“申报”选项卡 D77 单元格中，回答贵公司是否在贵公司的网站上公开发布_x000D_
负责任矿产采购政策</v>
      </c>
    </row>
    <row r="56" spans="1:10" ht="38.65" customHeight="1">
      <c r="A56" s="99" t="s">
        <v>5</v>
      </c>
      <c r="B56" s="99" t="str">
        <f>Declaration!G77</f>
        <v>http://www.drapho.com/Index/casedetail/id/1091.html</v>
      </c>
      <c r="C56" s="99" t="str">
        <f t="shared" ca="1" si="10"/>
        <v>填写</v>
      </c>
      <c r="D56" s="105" t="str">
        <f>IF(H56=1,"Click here to specify URL for question (B)","")</f>
        <v/>
      </c>
      <c r="E56" s="81"/>
      <c r="F56" s="104">
        <f>IF(AND(F55=1,B55="Yes"),1,0)</f>
        <v>1</v>
      </c>
      <c r="G56" s="78">
        <f>IF(LEN(B56)&gt;1,0,1)</f>
        <v>0</v>
      </c>
      <c r="H56" s="79">
        <f t="shared" si="11"/>
        <v>0</v>
      </c>
      <c r="I56" s="170" t="str">
        <f ca="1">OFFSET(L!$C$1,MATCH("Checker"&amp;"Comp",L!$A:$A,0)-1,SL,,)</f>
        <v>填写</v>
      </c>
      <c r="J56" s="162" t="str">
        <f ca="1">OFFSET(L!$C$1,MATCH("Checker"&amp;ADDRESS(ROW(),COLUMN(),4),L!$A:$A,0)-1,SL,,)</f>
        <v xml:space="preserve">如果问题 B 的答案为“是”，则请在“申报”工作表 G77 单元格中输入 URL。URL 的格式应为“www.companyname.com” </v>
      </c>
    </row>
    <row r="57" spans="1:10" ht="63.75">
      <c r="A57" s="99" t="str">
        <f ca="1">Declaration!B79</f>
        <v>C. 您是否要求您的直接供应商从其尽职调查实践已被被独立第三方审核机构验证过的冶炼厂采购 3TG？  (*)</v>
      </c>
      <c r="B57" s="99" t="str">
        <f>Declaration!D79</f>
        <v>Yes</v>
      </c>
      <c r="C57" s="99" t="str">
        <f t="shared" ca="1" si="10"/>
        <v>填写</v>
      </c>
      <c r="D57" s="105" t="str">
        <f>IF(H57=1,"Click here to answer question (C)","")</f>
        <v/>
      </c>
      <c r="E57" s="81" t="s">
        <v>1307</v>
      </c>
      <c r="F57" s="104">
        <f>F$54</f>
        <v>1</v>
      </c>
      <c r="G57" s="78">
        <f>IF(B57=0,1,0)</f>
        <v>0</v>
      </c>
      <c r="H57" s="79">
        <f t="shared" si="11"/>
        <v>0</v>
      </c>
      <c r="I57" s="170" t="str">
        <f ca="1">OFFSET(L!$C$1,MATCH("Checker"&amp;"Comp",L!$A:$A,0)-1,SL,,)</f>
        <v>填写</v>
      </c>
      <c r="J57" s="22"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99" t="str">
        <f ca="1">Declaration!B81</f>
        <v>D. 贵公司是否已实施负责任矿产采购的尽职调查措施？ (*)</v>
      </c>
      <c r="B58" s="99" t="str">
        <f>Declaration!D81</f>
        <v>Yes</v>
      </c>
      <c r="C58" s="99" t="str">
        <f t="shared" ca="1" si="10"/>
        <v>填写</v>
      </c>
      <c r="D58" s="105" t="str">
        <f>IF(H58=1,"Click here to answer question (D)","")</f>
        <v/>
      </c>
      <c r="E58" s="81" t="s">
        <v>1307</v>
      </c>
      <c r="F58" s="104">
        <f>F$54</f>
        <v>1</v>
      </c>
      <c r="G58" s="78">
        <f>IF(B58=0,1,0)</f>
        <v>0</v>
      </c>
      <c r="H58" s="79">
        <f t="shared" si="11"/>
        <v>0</v>
      </c>
      <c r="I58" s="170" t="str">
        <f ca="1">OFFSET(L!$C$1,MATCH("Checker"&amp;"Comp",L!$A:$A,0)-1,SL,,)</f>
        <v>填写</v>
      </c>
      <c r="J58" s="22" t="str">
        <f ca="1">OFFSET(L!$C$1,MATCH("Checker"&amp;ADDRESS(ROW(),COLUMN(),4),L!$A:$A,0)-1,SL,,)</f>
        <v>在“申报”选项卡 D81 单元格中，回答贵公司是否已实施负责任采购尽职调查措施</v>
      </c>
    </row>
    <row r="59" spans="1:10" ht="39">
      <c r="A59" s="99" t="str">
        <f ca="1">Declaration!B83</f>
        <v>E. 贵公司是否开展了相关供应商的冲突矿产调查？ (*)</v>
      </c>
      <c r="B59" s="99" t="str">
        <f>Declaration!D83</f>
        <v>Yes, in conformance with IPC1755 (e.g., CMRT)</v>
      </c>
      <c r="C59" s="99" t="str">
        <f t="shared" ca="1" si="10"/>
        <v>填写</v>
      </c>
      <c r="D59" s="105" t="str">
        <f>IF(H59=1,"Click here to answer question (E)","")</f>
        <v/>
      </c>
      <c r="E59" s="81" t="s">
        <v>1307</v>
      </c>
      <c r="F59" s="104">
        <f>F$54</f>
        <v>1</v>
      </c>
      <c r="G59" s="78">
        <f>IF(B59=0,1,0)</f>
        <v>0</v>
      </c>
      <c r="H59" s="79">
        <f t="shared" si="11"/>
        <v>0</v>
      </c>
      <c r="I59" s="170" t="str">
        <f ca="1">OFFSET(L!$C$1,MATCH("Checker"&amp;"Comp",L!$A:$A,0)-1,SL,,)</f>
        <v>填写</v>
      </c>
      <c r="J59" s="22" t="str">
        <f ca="1">OFFSET(L!$C$1,MATCH("Checker"&amp;ADDRESS(ROW(),COLUMN(),4),L!$A:$A,0)-1,SL,,)</f>
        <v>在“申报”选项卡 D83 单元格中，回答贵公司是否要求供应商填写此“冲突矿产报告模板”</v>
      </c>
    </row>
    <row r="60" spans="1:10" ht="39">
      <c r="A60" s="99" t="str">
        <f ca="1">Declaration!B85</f>
        <v>F. 贵公司是否根据公司期望来审查供应商提交的尽职调查信息？ (*)</v>
      </c>
      <c r="B60" s="99" t="str">
        <f>Declaration!D85</f>
        <v>Yes</v>
      </c>
      <c r="C60" s="99" t="str">
        <f t="shared" ca="1" si="10"/>
        <v>填写</v>
      </c>
      <c r="D60" s="105" t="str">
        <f>IF(H60=1,"Click here to answer question (F)","")</f>
        <v/>
      </c>
      <c r="E60" s="81" t="s">
        <v>1307</v>
      </c>
      <c r="F60" s="104">
        <f>F$54</f>
        <v>1</v>
      </c>
      <c r="G60" s="78">
        <f>IF(B60=0,1,0)</f>
        <v>0</v>
      </c>
      <c r="H60" s="79">
        <f t="shared" si="11"/>
        <v>0</v>
      </c>
      <c r="I60" s="170" t="str">
        <f ca="1">OFFSET(L!$C$1,MATCH("Checker"&amp;"Comp",L!$A:$A,0)-1,SL,,)</f>
        <v>填写</v>
      </c>
      <c r="J60" s="22" t="str">
        <f ca="1">OFFSET(L!$C$1,MATCH("Checker"&amp;ADDRESS(ROW(),COLUMN(),4),L!$A:$A,0)-1,SL,,)</f>
        <v>在“申报”选项卡 D85 单元格中，回答贵公司是否根据贵公司的期望来验证供应商的回答</v>
      </c>
    </row>
    <row r="61" spans="1:10" ht="15" hidden="1">
      <c r="A61" s="99"/>
      <c r="B61" s="99"/>
      <c r="C61" s="99"/>
      <c r="D61" s="105"/>
      <c r="E61" s="81"/>
      <c r="F61" s="104"/>
      <c r="G61" s="78"/>
      <c r="H61" s="79"/>
      <c r="I61" s="170"/>
    </row>
    <row r="62" spans="1:10" ht="39">
      <c r="A62" s="99" t="str">
        <f ca="1">Declaration!B87</f>
        <v>G. 贵公司的验证程序是否包括纠正措施管理？ (*)</v>
      </c>
      <c r="B62" s="99" t="str">
        <f>Declaration!D87</f>
        <v>Yes</v>
      </c>
      <c r="C62" s="99" t="str">
        <f t="shared" ref="C62:C68" ca="1" si="13">IF(H62=1,J62,I62)</f>
        <v>填写</v>
      </c>
      <c r="D62" s="105" t="str">
        <f>IF(H62=1,"Click here to answer question (G)","")</f>
        <v/>
      </c>
      <c r="E62" s="81" t="s">
        <v>1307</v>
      </c>
      <c r="F62" s="104">
        <f>F$54</f>
        <v>1</v>
      </c>
      <c r="G62" s="78">
        <f>IF(B62=0,1,0)</f>
        <v>0</v>
      </c>
      <c r="H62" s="79">
        <f t="shared" ref="H62:H69" si="14">F62*G62</f>
        <v>0</v>
      </c>
      <c r="I62" s="170" t="str">
        <f ca="1">OFFSET(L!$C$1,MATCH("Checker"&amp;"Comp",L!$A:$A,0)-1,SL,,)</f>
        <v>填写</v>
      </c>
      <c r="J62" s="22" t="str">
        <f ca="1">OFFSET(L!$C$1,MATCH("Checker"&amp;ADDRESS(ROW(),COLUMN(),4),L!$A:$A,0)-1,SL,,)</f>
        <v>在“申报”选项卡 D87 单元格中，回答贵公司的验证流程是否包括纠正措施管理</v>
      </c>
    </row>
    <row r="63" spans="1:10" ht="39">
      <c r="A63" s="99" t="str">
        <f ca="1">Declaration!B89</f>
        <v>H. 贵公司是否需要提交年度冲突矿产披露？ (*)</v>
      </c>
      <c r="B63" s="99" t="str">
        <f>Declaration!D89</f>
        <v>No</v>
      </c>
      <c r="C63" s="99" t="str">
        <f t="shared" ca="1" si="13"/>
        <v>填写</v>
      </c>
      <c r="D63" s="105" t="str">
        <f>IF(H63=1,"Click here to answer question (H)","")</f>
        <v/>
      </c>
      <c r="E63" s="81" t="s">
        <v>1307</v>
      </c>
      <c r="F63" s="104">
        <f>F$54</f>
        <v>1</v>
      </c>
      <c r="G63" s="78">
        <f>IF(B63=0,1,0)</f>
        <v>0</v>
      </c>
      <c r="H63" s="79">
        <f t="shared" si="14"/>
        <v>0</v>
      </c>
      <c r="I63" s="170" t="str">
        <f ca="1">OFFSET(L!$C$1,MATCH("Checker"&amp;"Comp",L!$A:$A,0)-1,SL,,)</f>
        <v>填写</v>
      </c>
      <c r="J63" s="22" t="str">
        <f ca="1">OFFSET(L!$C$1,MATCH("Checker"&amp;ADDRESS(ROW(),COLUMN(),4),L!$A:$A,0)-1,SL,,)</f>
        <v>在“申报”选项卡 D89
单元格中，回答贵公司是否需要遵守 SEC 披露要求、欧盟条例
或者两者均需遵守</v>
      </c>
    </row>
    <row r="64" spans="1:10" ht="39">
      <c r="A64" s="99" t="s">
        <v>1300</v>
      </c>
      <c r="B64" s="99" t="str">
        <f ca="1">IF(G64=1,"No products or item numbers listed","One or more product / item numbers have been provided")</f>
        <v>No products or item numbers listed</v>
      </c>
      <c r="C64" s="99" t="str">
        <f t="shared" ca="1" si="13"/>
        <v>填写</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填写</v>
      </c>
      <c r="J64" s="22" t="str">
        <f ca="1">OFFSET(L!$C$1,MATCH("Checker"&amp;ADDRESS(ROW(),COLUMN(),4),L!$A:$A,0)-1,SL,,)</f>
        <v>如果合适，提供此申报所适用的一个或多个产品或项目编号。从“申报”选项卡 6H1 单元格中，选择超链接进入“产品列表”选项卡</v>
      </c>
    </row>
    <row r="65" spans="1:12" ht="39">
      <c r="A65" s="99" t="s">
        <v>15262</v>
      </c>
      <c r="B65" s="99"/>
      <c r="C65" s="99" t="str">
        <f t="shared" ca="1" si="13"/>
        <v>填写</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填写</v>
      </c>
      <c r="J65" s="22" t="str">
        <f ca="1">OFFSET(L!$C$1,MATCH("Checker"&amp;ADDRESS(ROW(),COLUMN(),4),L!$A:$A,0)-1,SL,,)</f>
        <v>在“冶炼厂目录”选项卡中，提供向供应链提供材料的钽冶炼厂列表</v>
      </c>
      <c r="K65" s="177">
        <f>IF(H14+H19&gt;0,1,0)</f>
        <v>0</v>
      </c>
      <c r="L65" s="22" t="e">
        <f ca="1">OFFSET(L!$C$1,MATCH("Checker"&amp;ADDRESS(ROW(),COLUMN(),4),L!$A:$A,0)-1,SL,,)</f>
        <v>#N/A</v>
      </c>
    </row>
    <row r="66" spans="1:12" ht="39">
      <c r="A66" s="99" t="s">
        <v>1865</v>
      </c>
      <c r="B66" s="99"/>
      <c r="C66" s="99" t="str">
        <f t="shared" ca="1" si="13"/>
        <v>填写</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填写</v>
      </c>
      <c r="J66" s="22" t="str">
        <f ca="1">OFFSET(L!$C$1,MATCH("Checker"&amp;ADDRESS(ROW(),COLUMN(),4),L!$A:$A,0)-1,SL,,)</f>
        <v>在“冶炼厂目录”选项卡中，提供向供应链提供材料的锡冶炼厂列表</v>
      </c>
      <c r="K66" s="177">
        <f>IF(H15+H20&gt;0,1,0)</f>
        <v>0</v>
      </c>
      <c r="L66" s="22" t="e">
        <f ca="1">OFFSET(L!$C$1,MATCH("Checker"&amp;ADDRESS(ROW(),COLUMN(),4),L!$A:$A,0)-1,SL,,)</f>
        <v>#N/A</v>
      </c>
    </row>
    <row r="67" spans="1:12" ht="39">
      <c r="A67" s="99" t="s">
        <v>1866</v>
      </c>
      <c r="B67" s="99"/>
      <c r="C67" s="99" t="str">
        <f t="shared" ca="1" si="13"/>
        <v>填写</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填写</v>
      </c>
      <c r="J67" s="22" t="str">
        <f ca="1">OFFSET(L!$C$1,MATCH("Checker"&amp;ADDRESS(ROW(),COLUMN(),4),L!$A:$A,0)-1,SL,,)</f>
        <v>在“冶炼厂目录”选项卡中，提供向供应链提供材料的金冶炼厂列表</v>
      </c>
      <c r="K67" s="177">
        <f>IF(H16+H21&gt;0,1,0)</f>
        <v>0</v>
      </c>
      <c r="L67" s="22" t="e">
        <f ca="1">OFFSET(L!$C$1,MATCH("Checker"&amp;ADDRESS(ROW(),COLUMN(),4),L!$A:$A,0)-1,SL,,)</f>
        <v>#N/A</v>
      </c>
    </row>
    <row r="68" spans="1:12" ht="39">
      <c r="A68" s="99" t="s">
        <v>1867</v>
      </c>
      <c r="B68" s="99"/>
      <c r="C68" s="99" t="str">
        <f t="shared" ca="1" si="13"/>
        <v>填写</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填写</v>
      </c>
      <c r="J68" s="22" t="str">
        <f ca="1">OFFSET(L!$C$1,MATCH("Checker"&amp;ADDRESS(ROW(),COLUMN(),4),L!$A:$A,0)-1,SL,,)</f>
        <v>在“冶炼厂目录”选项卡中，提供向供应链提供材料的钨冶炼厂列表</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填写</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44" priority="358" stopIfTrue="1">
      <formula>$H$56=0</formula>
    </cfRule>
  </conditionalFormatting>
  <conditionalFormatting sqref="B66">
    <cfRule type="expression" dxfId="43" priority="39" stopIfTrue="1">
      <formula>IF(F66=0,TRUE)</formula>
    </cfRule>
  </conditionalFormatting>
  <conditionalFormatting sqref="B67">
    <cfRule type="expression" dxfId="42" priority="35" stopIfTrue="1">
      <formula>IF(F67=0,TRUE)</formula>
    </cfRule>
  </conditionalFormatting>
  <conditionalFormatting sqref="B68:B69">
    <cfRule type="expression" dxfId="41" priority="31" stopIfTrue="1">
      <formula>IF(F68=0,TRUE)</formula>
    </cfRule>
  </conditionalFormatting>
  <conditionalFormatting sqref="A29:A32">
    <cfRule type="expression" dxfId="40" priority="2" stopIfTrue="1">
      <formula>$F29=0</formula>
    </cfRule>
    <cfRule type="expression" dxfId="39" priority="3" stopIfTrue="1">
      <formula>$H29=0</formula>
    </cfRule>
    <cfRule type="expression" dxfId="38" priority="4" stopIfTrue="1">
      <formula>$H29=1</formula>
    </cfRule>
  </conditionalFormatting>
  <conditionalFormatting sqref="B65">
    <cfRule type="expression" dxfId="37" priority="1" stopIfTrue="1">
      <formula>IF(F65=0,TRUE)</formula>
    </cfRule>
  </conditionalFormatting>
  <conditionalFormatting sqref="A5:A13">
    <cfRule type="expression" dxfId="36" priority="49" stopIfTrue="1">
      <formula>$F5=0</formula>
    </cfRule>
    <cfRule type="expression" dxfId="35" priority="50" stopIfTrue="1">
      <formula>AND($F5=1,$G5=0)</formula>
    </cfRule>
    <cfRule type="expression" dxfId="34" priority="51" stopIfTrue="1">
      <formula>AND($F5&lt;&gt;0,$G5&lt;&gt;0)</formula>
    </cfRule>
  </conditionalFormatting>
  <conditionalFormatting sqref="A4:A69 C4:C69">
    <cfRule type="expression" dxfId="33" priority="347" stopIfTrue="1">
      <formula>$F4=0</formula>
    </cfRule>
    <cfRule type="expression" dxfId="32" priority="348" stopIfTrue="1">
      <formula>$H4=0</formula>
    </cfRule>
    <cfRule type="expression" dxfId="3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5" t="str">
        <f ca="1">OFFSET(L!$C$1,MATCH("Product List"&amp;ADDRESS(ROW(),COLUMN(),4),L!$A:$A,0)-1,SL,,)</f>
        <v xml:space="preserve">如果“申报”工作表上选择的报告层面为“产品（或产品列表）”，才需要填写此项。 </v>
      </c>
      <c r="B1" s="456"/>
      <c r="C1" s="456"/>
      <c r="D1" s="456"/>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4" t="s">
        <v>898</v>
      </c>
      <c r="C4" s="454"/>
      <c r="D4" s="454"/>
      <c r="E4" s="30"/>
      <c r="F4"/>
    </row>
    <row r="5" spans="1:6" s="26" customFormat="1" ht="15.75">
      <c r="A5" s="153"/>
      <c r="B5" s="154" t="str">
        <f ca="1">OFFSET(L!$C$1,MATCH("Product List"&amp;ADDRESS(ROW(),COLUMN(),4),L!$A:$A,0)-1,SL,,)</f>
        <v>制造商的产品序号 (*)</v>
      </c>
      <c r="C5" s="154" t="str">
        <f ca="1">OFFSET(L!$C$1,MATCH("Product List"&amp;ADDRESS(ROW(),COLUMN(),4),L!$A:$A,0)-1,SL,,)</f>
        <v>制造商的产品名称</v>
      </c>
      <c r="D5" s="82" t="str">
        <f ca="1">OFFSET(L!$C$1,MATCH("Product List"&amp;ADDRESS(ROW(),COLUMN(),4),L!$A:$A,0)-1,SL,,)</f>
        <v>注释</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7" t="str">
        <f ca="1">OFFSET(L!$C$1,MATCH("General"&amp;"Cpy",L!$A:$A,0)-1,SL,,)</f>
        <v>© 2022 Responsible Minerals Initiative。保留所有权利。</v>
      </c>
      <c r="C2006" s="457"/>
      <c r="D2006" s="457"/>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8"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458"/>
      <c r="C1" s="458"/>
      <c r="D1" s="458"/>
      <c r="E1" s="458"/>
      <c r="F1" s="458"/>
      <c r="G1" s="458"/>
    </row>
    <row r="2" spans="1:16">
      <c r="A2" s="459"/>
      <c r="B2" s="459"/>
      <c r="C2" s="459"/>
      <c r="D2" s="459"/>
      <c r="E2" s="459"/>
      <c r="F2" s="459"/>
      <c r="G2" s="459"/>
      <c r="H2" s="459"/>
      <c r="I2" s="459"/>
    </row>
    <row r="3" spans="1:16">
      <c r="A3" s="459"/>
      <c r="B3" s="459"/>
      <c r="C3" s="459"/>
      <c r="D3" s="459"/>
      <c r="E3" s="459"/>
      <c r="F3" s="459"/>
      <c r="G3" s="459"/>
      <c r="H3" s="459"/>
      <c r="I3" s="459"/>
    </row>
    <row r="4" spans="1:16" s="220" customFormat="1" ht="51">
      <c r="A4" s="219" t="str">
        <f ca="1">OFFSET(L!$C$1,MATCH("Smelter Look-up"&amp;ADDRESS(ROW(),COLUMN(),4),L!$A:$A,0)-1,SL,,)</f>
        <v>金属</v>
      </c>
      <c r="B4" s="219" t="str">
        <f ca="1">OFFSET(L!$C$1,MATCH("Smelter Look-up"&amp;ADDRESS(ROW(),COLUMN(),4),L!$A:$A,0)-1,SL,,)</f>
        <v>冶炼厂查找 (*)</v>
      </c>
      <c r="C4" s="219" t="str">
        <f ca="1">OFFSET(L!$C$1,MATCH("Smelter Look-up"&amp;ADDRESS(ROW(),COLUMN(),4),L!$A:$A,0)-1,SL,,)</f>
        <v>标准冶炼厂名称</v>
      </c>
      <c r="D4" s="219" t="str">
        <f ca="1">OFFSET(L!$C$1,MATCH("Smelter Look-up"&amp;ADDRESS(ROW(),COLUMN(),4),L!$A:$A,0)-1,SL,,)</f>
        <v>冶炼厂地址：国家或地区</v>
      </c>
      <c r="E4" s="219" t="str">
        <f ca="1">OFFSET(L!$C$1,MATCH("Smelter Look-up"&amp;ADDRESS(ROW(),COLUMN(),4),L!$A:$A,0)-1,SL,,)</f>
        <v>冶炼厂 ID</v>
      </c>
      <c r="F4" s="219" t="str">
        <f ca="1">OFFSET(L!$C$1,MATCH("Smelter Look-up"&amp;ADDRESS(ROW(),COLUMN(),4),L!$A:$A,0)-1,SL,,)</f>
        <v>冶炼厂出处识别号</v>
      </c>
      <c r="G4" s="219" t="str">
        <f ca="1">OFFSET(L!$C$1,MATCH("Smelter Look-up"&amp;ADDRESS(ROW(),COLUMN(),4),L!$A:$A,0)-1,SL,,)</f>
        <v>冶炼厂所在街道</v>
      </c>
      <c r="H4" s="219" t="str">
        <f ca="1">OFFSET(L!$C$1,MATCH("Smelter Look-up"&amp;ADDRESS(ROW(),COLUMN(),4),L!$A:$A,0)-1,SL,,)</f>
        <v>冶炼厂所在城市</v>
      </c>
      <c r="I4" s="219" t="str">
        <f ca="1">OFFSET(L!$C$1,MATCH("Smelter Look-up"&amp;ADDRESS(ROW(),COLUMN(),4),L!$A:$A,0)-1,SL,,)</f>
        <v>冶炼厂地址：州/省</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3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84.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4.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48.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99">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10">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4.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75.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4.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85.2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9.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1.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2.7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4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7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27.75">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2.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7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42.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42">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6.7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8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70.7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99.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54">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40.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8.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2.7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2.7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7">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2.7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2.7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2.7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71.2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RD10-145</cp:lastModifiedBy>
  <cp:lastPrinted>2015-04-21T20:47:43Z</cp:lastPrinted>
  <dcterms:created xsi:type="dcterms:W3CDTF">2010-06-21T21:00:23Z</dcterms:created>
  <dcterms:modified xsi:type="dcterms:W3CDTF">2023-01-11T01:21:03Z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